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այսօր\"/>
    </mc:Choice>
  </mc:AlternateContent>
  <bookViews>
    <workbookView xWindow="0" yWindow="0" windowWidth="25200" windowHeight="11985"/>
  </bookViews>
  <sheets>
    <sheet name="2025-2027" sheetId="8" r:id="rId1"/>
    <sheet name="Տեղեկանք 1 բազային բյուջե" sheetId="7" state="hidden" r:id="rId2"/>
    <sheet name="հհ" sheetId="3" state="hidden" r:id="rId3"/>
  </sheets>
  <externalReferences>
    <externalReference r:id="rId4"/>
    <externalReference r:id="rId5"/>
    <externalReference r:id="rId6"/>
    <externalReference r:id="rId7"/>
  </externalReferences>
  <definedNames>
    <definedName name="_xlnm._FilterDatabase" localSheetId="0" hidden="1">'2025-2027'!$A$8:$N$1196</definedName>
    <definedName name="_xlnm._FilterDatabase" localSheetId="2" hidden="1">հհ!$A$1:$C$48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10" i="8" l="1"/>
  <c r="H10" i="8"/>
  <c r="H9" i="8" s="1"/>
  <c r="H12" i="8"/>
  <c r="H14" i="8"/>
  <c r="H16" i="8"/>
  <c r="H19" i="8"/>
  <c r="H22" i="8"/>
  <c r="H24" i="8"/>
  <c r="H26" i="8"/>
  <c r="H28" i="8"/>
  <c r="H30" i="8"/>
  <c r="H32" i="8"/>
  <c r="H34" i="8"/>
  <c r="H36" i="8"/>
  <c r="H38" i="8"/>
  <c r="H40" i="8"/>
  <c r="H43" i="8"/>
  <c r="H45" i="8"/>
  <c r="H49" i="8"/>
  <c r="H52" i="8"/>
  <c r="H54" i="8"/>
  <c r="H56" i="8"/>
  <c r="H61" i="8"/>
  <c r="H63" i="8"/>
  <c r="H65" i="8"/>
  <c r="H67" i="8"/>
  <c r="H69" i="8"/>
  <c r="H71" i="8"/>
  <c r="H73" i="8"/>
  <c r="H75" i="8"/>
  <c r="H77" i="8"/>
  <c r="H79" i="8"/>
  <c r="H81" i="8"/>
  <c r="H83" i="8"/>
  <c r="H85" i="8"/>
  <c r="H87" i="8"/>
  <c r="H89" i="8"/>
  <c r="H91" i="8"/>
  <c r="H93" i="8"/>
  <c r="H96" i="8"/>
  <c r="H100" i="8"/>
  <c r="H103" i="8"/>
  <c r="H105" i="8"/>
  <c r="H102" i="8" s="1"/>
  <c r="H107" i="8"/>
  <c r="H109" i="8"/>
  <c r="H112" i="8"/>
  <c r="H111" i="8" s="1"/>
  <c r="H114" i="8"/>
  <c r="H116" i="8"/>
  <c r="H118" i="8"/>
  <c r="H120" i="8"/>
  <c r="H122" i="8"/>
  <c r="H124" i="8"/>
  <c r="H126" i="8"/>
  <c r="H128" i="8"/>
  <c r="H130" i="8"/>
  <c r="H131" i="8"/>
  <c r="H134" i="8"/>
  <c r="H137" i="8"/>
  <c r="H140" i="8"/>
  <c r="H139" i="8" s="1"/>
  <c r="H142" i="8"/>
  <c r="H144" i="8"/>
  <c r="H146" i="8"/>
  <c r="H148" i="8"/>
  <c r="H150" i="8"/>
  <c r="H154" i="8"/>
  <c r="H158" i="8"/>
  <c r="H160" i="8"/>
  <c r="H164" i="8"/>
  <c r="H163" i="8" s="1"/>
  <c r="H166" i="8"/>
  <c r="H168" i="8"/>
  <c r="H170" i="8"/>
  <c r="H174" i="8"/>
  <c r="H175" i="8"/>
  <c r="H176" i="8"/>
  <c r="H179" i="8"/>
  <c r="H181" i="8"/>
  <c r="H183" i="8"/>
  <c r="H187" i="8"/>
  <c r="H186" i="8" s="1"/>
  <c r="H189" i="8"/>
  <c r="H191" i="8"/>
  <c r="H193" i="8"/>
  <c r="H195" i="8"/>
  <c r="H197" i="8"/>
  <c r="H199" i="8"/>
  <c r="H201" i="8"/>
  <c r="H203" i="8"/>
  <c r="H205" i="8"/>
  <c r="H209" i="8"/>
  <c r="H211" i="8"/>
  <c r="H213" i="8"/>
  <c r="H216" i="8"/>
  <c r="H219" i="8"/>
  <c r="H218" i="8" s="1"/>
  <c r="H226" i="8"/>
  <c r="H229" i="8"/>
  <c r="H225" i="8" s="1"/>
  <c r="H232" i="8"/>
  <c r="H235" i="8"/>
  <c r="H237" i="8"/>
  <c r="H239" i="8"/>
  <c r="H243" i="8"/>
  <c r="H244" i="8"/>
  <c r="H246" i="8"/>
  <c r="H247" i="8"/>
  <c r="H253" i="8"/>
  <c r="H255" i="8"/>
  <c r="H260" i="8"/>
  <c r="H262" i="8"/>
  <c r="H264" i="8"/>
  <c r="H265" i="8"/>
  <c r="H268" i="8"/>
  <c r="H270" i="8"/>
  <c r="H273" i="8"/>
  <c r="H275" i="8"/>
  <c r="H278" i="8"/>
  <c r="H277" i="8" s="1"/>
  <c r="H280" i="8"/>
  <c r="H283" i="8"/>
  <c r="H282" i="8" s="1"/>
  <c r="H286" i="8"/>
  <c r="H285" i="8" s="1"/>
  <c r="H288" i="8"/>
  <c r="H289" i="8"/>
  <c r="H292" i="8"/>
  <c r="H291" i="8" s="1"/>
  <c r="H294" i="8"/>
  <c r="H296" i="8"/>
  <c r="H300" i="8"/>
  <c r="H299" i="8" s="1"/>
  <c r="H305" i="8"/>
  <c r="H308" i="8"/>
  <c r="H310" i="8"/>
  <c r="H312" i="8"/>
  <c r="H314" i="8"/>
  <c r="H317" i="8"/>
  <c r="H319" i="8"/>
  <c r="H321" i="8"/>
  <c r="H316" i="8" s="1"/>
  <c r="H322" i="8"/>
  <c r="H323" i="8"/>
  <c r="H325" i="8"/>
  <c r="H327" i="8"/>
  <c r="H329" i="8"/>
  <c r="H332" i="8"/>
  <c r="H336" i="8"/>
  <c r="H335" i="8" s="1"/>
  <c r="H340" i="8"/>
  <c r="H346" i="8"/>
  <c r="H348" i="8"/>
  <c r="H349" i="8"/>
  <c r="H350" i="8"/>
  <c r="H354" i="8"/>
  <c r="H357" i="8"/>
  <c r="H356" i="8" s="1"/>
  <c r="H358" i="8"/>
  <c r="H360" i="8"/>
  <c r="H362" i="8"/>
  <c r="H364" i="8"/>
  <c r="H366" i="8"/>
  <c r="H368" i="8"/>
  <c r="H370" i="8"/>
  <c r="H372" i="8"/>
  <c r="H374" i="8"/>
  <c r="H376" i="8"/>
  <c r="H379" i="8"/>
  <c r="H382" i="8"/>
  <c r="H381" i="8" s="1"/>
  <c r="H378" i="8" s="1"/>
  <c r="H383" i="8"/>
  <c r="H385" i="8"/>
  <c r="H387" i="8"/>
  <c r="H389" i="8"/>
  <c r="H391" i="8"/>
  <c r="H393" i="8"/>
  <c r="H395" i="8"/>
  <c r="H397" i="8"/>
  <c r="H399" i="8"/>
  <c r="H401" i="8"/>
  <c r="H404" i="8"/>
  <c r="H406" i="8"/>
  <c r="H403" i="8" s="1"/>
  <c r="H407" i="8"/>
  <c r="H408" i="8"/>
  <c r="H410" i="8"/>
  <c r="H412" i="8"/>
  <c r="H414" i="8"/>
  <c r="H416" i="8"/>
  <c r="H418" i="8"/>
  <c r="H420" i="8"/>
  <c r="H422" i="8"/>
  <c r="H424" i="8"/>
  <c r="H426" i="8"/>
  <c r="H428" i="8"/>
  <c r="H430" i="8"/>
  <c r="H432" i="8"/>
  <c r="H434" i="8"/>
  <c r="H436" i="8"/>
  <c r="H441" i="8"/>
  <c r="H438" i="8" s="1"/>
  <c r="H444" i="8"/>
  <c r="H447" i="8"/>
  <c r="H446" i="8" s="1"/>
  <c r="H448" i="8"/>
  <c r="H452" i="8"/>
  <c r="H456" i="8"/>
  <c r="H461" i="8"/>
  <c r="H463" i="8"/>
  <c r="H465" i="8"/>
  <c r="H467" i="8"/>
  <c r="H470" i="8"/>
  <c r="H474" i="8"/>
  <c r="H473" i="8" s="1"/>
  <c r="H472" i="8" s="1"/>
  <c r="H476" i="8"/>
  <c r="H478" i="8"/>
  <c r="H480" i="8"/>
  <c r="H482" i="8"/>
  <c r="H484" i="8"/>
  <c r="H486" i="8"/>
  <c r="H488" i="8"/>
  <c r="H490" i="8"/>
  <c r="H492" i="8"/>
  <c r="H494" i="8"/>
  <c r="H496" i="8"/>
  <c r="H499" i="8"/>
  <c r="H501" i="8"/>
  <c r="H498" i="8" s="1"/>
  <c r="H503" i="8"/>
  <c r="H505" i="8"/>
  <c r="H507" i="8"/>
  <c r="H509" i="8"/>
  <c r="H511" i="8"/>
  <c r="H513" i="8"/>
  <c r="H515" i="8"/>
  <c r="H517" i="8"/>
  <c r="H519" i="8"/>
  <c r="H521" i="8"/>
  <c r="H526" i="8"/>
  <c r="H525" i="8" s="1"/>
  <c r="H524" i="8" s="1"/>
  <c r="H528" i="8"/>
  <c r="H530" i="8"/>
  <c r="H534" i="8"/>
  <c r="H536" i="8"/>
  <c r="H533" i="8" s="1"/>
  <c r="H538" i="8"/>
  <c r="H540" i="8"/>
  <c r="H542" i="8"/>
  <c r="H544" i="8"/>
  <c r="H546" i="8"/>
  <c r="H548" i="8"/>
  <c r="H550" i="8"/>
  <c r="H552" i="8"/>
  <c r="H554" i="8"/>
  <c r="H556" i="8"/>
  <c r="H558" i="8"/>
  <c r="H561" i="8"/>
  <c r="H563" i="8"/>
  <c r="H560" i="8" s="1"/>
  <c r="H565" i="8"/>
  <c r="H567" i="8"/>
  <c r="H569" i="8"/>
  <c r="H571" i="8"/>
  <c r="H573" i="8"/>
  <c r="H575" i="8"/>
  <c r="H577" i="8"/>
  <c r="H579" i="8"/>
  <c r="H581" i="8"/>
  <c r="H583" i="8"/>
  <c r="H587" i="8"/>
  <c r="H586" i="8" s="1"/>
  <c r="H585" i="8" s="1"/>
  <c r="H588" i="8"/>
  <c r="H590" i="8"/>
  <c r="H592" i="8"/>
  <c r="H594" i="8"/>
  <c r="H596" i="8"/>
  <c r="H598" i="8"/>
  <c r="H600" i="8"/>
  <c r="H602" i="8"/>
  <c r="H604" i="8"/>
  <c r="H606" i="8"/>
  <c r="H608" i="8"/>
  <c r="H612" i="8"/>
  <c r="H618" i="8"/>
  <c r="H620" i="8"/>
  <c r="H622" i="8"/>
  <c r="H623" i="8"/>
  <c r="H627" i="8"/>
  <c r="H629" i="8"/>
  <c r="H631" i="8"/>
  <c r="H635" i="8"/>
  <c r="H637" i="8"/>
  <c r="H639" i="8"/>
  <c r="H634" i="8" s="1"/>
  <c r="H641" i="8"/>
  <c r="H643" i="8"/>
  <c r="H645" i="8"/>
  <c r="H647" i="8"/>
  <c r="H649" i="8"/>
  <c r="H651" i="8"/>
  <c r="H653" i="8"/>
  <c r="H655" i="8"/>
  <c r="H657" i="8"/>
  <c r="H660" i="8"/>
  <c r="H680" i="8"/>
  <c r="H682" i="8"/>
  <c r="H686" i="8"/>
  <c r="H688" i="8"/>
  <c r="H690" i="8"/>
  <c r="H692" i="8"/>
  <c r="H694" i="8"/>
  <c r="H696" i="8"/>
  <c r="H699" i="8"/>
  <c r="H698" i="8" s="1"/>
  <c r="H702" i="8"/>
  <c r="H701" i="8" s="1"/>
  <c r="H704" i="8"/>
  <c r="H707" i="8"/>
  <c r="H708" i="8"/>
  <c r="H710" i="8"/>
  <c r="H711" i="8"/>
  <c r="H714" i="8"/>
  <c r="H715" i="8"/>
  <c r="H717" i="8"/>
  <c r="H716" i="8" s="1"/>
  <c r="H720" i="8"/>
  <c r="H722" i="8"/>
  <c r="H724" i="8"/>
  <c r="H726" i="8"/>
  <c r="H728" i="8"/>
  <c r="H732" i="8"/>
  <c r="H734" i="8"/>
  <c r="H737" i="8"/>
  <c r="H739" i="8"/>
  <c r="H736" i="8" s="1"/>
  <c r="H741" i="8"/>
  <c r="H743" i="8"/>
  <c r="H746" i="8"/>
  <c r="H745" i="8" s="1"/>
  <c r="H748" i="8"/>
  <c r="H753" i="8"/>
  <c r="H752" i="8" s="1"/>
  <c r="H750" i="8" s="1"/>
  <c r="H755" i="8"/>
  <c r="H754" i="8" s="1"/>
  <c r="H757" i="8"/>
  <c r="H756" i="8" s="1"/>
  <c r="H759" i="8"/>
  <c r="H760" i="8"/>
  <c r="H764" i="8"/>
  <c r="H766" i="8"/>
  <c r="H767" i="8"/>
  <c r="H770" i="8"/>
  <c r="H771" i="8"/>
  <c r="H773" i="8"/>
  <c r="H776" i="8"/>
  <c r="H777" i="8"/>
  <c r="H779" i="8"/>
  <c r="H781" i="8"/>
  <c r="H783" i="8"/>
  <c r="H785" i="8"/>
  <c r="H787" i="8"/>
  <c r="H791" i="8"/>
  <c r="H790" i="8" s="1"/>
  <c r="H807" i="8"/>
  <c r="H816" i="8"/>
  <c r="H811" i="8" s="1"/>
  <c r="H820" i="8"/>
  <c r="H819" i="8" s="1"/>
  <c r="H822" i="8"/>
  <c r="H826" i="8"/>
  <c r="H825" i="8" s="1"/>
  <c r="H832" i="8"/>
  <c r="H831" i="8" s="1"/>
  <c r="H830" i="8" s="1"/>
  <c r="H837" i="8"/>
  <c r="H836" i="8" s="1"/>
  <c r="H842" i="8"/>
  <c r="H841" i="8" s="1"/>
  <c r="H846" i="8"/>
  <c r="H847" i="8"/>
  <c r="H851" i="8"/>
  <c r="H854" i="8"/>
  <c r="H853" i="8" s="1"/>
  <c r="H858" i="8"/>
  <c r="H861" i="8"/>
  <c r="H863" i="8"/>
  <c r="H864" i="8"/>
  <c r="H866" i="8"/>
  <c r="H868" i="8"/>
  <c r="H870" i="8"/>
  <c r="H872" i="8"/>
  <c r="H874" i="8"/>
  <c r="H876" i="8"/>
  <c r="H878" i="8"/>
  <c r="H880" i="8"/>
  <c r="H882" i="8"/>
  <c r="H884" i="8"/>
  <c r="H886" i="8"/>
  <c r="H888" i="8"/>
  <c r="H890" i="8"/>
  <c r="H894" i="8"/>
  <c r="H893" i="8" s="1"/>
  <c r="H896" i="8"/>
  <c r="H898" i="8"/>
  <c r="H900" i="8"/>
  <c r="H901" i="8"/>
  <c r="H903" i="8"/>
  <c r="H902" i="8" s="1"/>
  <c r="H905" i="8"/>
  <c r="H904" i="8" s="1"/>
  <c r="H907" i="8"/>
  <c r="H906" i="8" s="1"/>
  <c r="H908" i="8"/>
  <c r="H909" i="8"/>
  <c r="H911" i="8"/>
  <c r="H910" i="8" s="1"/>
  <c r="H913" i="8"/>
  <c r="H912" i="8" s="1"/>
  <c r="H915" i="8"/>
  <c r="H914" i="8" s="1"/>
  <c r="H916" i="8"/>
  <c r="H917" i="8"/>
  <c r="H919" i="8"/>
  <c r="H918" i="8" s="1"/>
  <c r="H920" i="8"/>
  <c r="H921" i="8"/>
  <c r="H922" i="8"/>
  <c r="H923" i="8"/>
  <c r="H929" i="8"/>
  <c r="H935" i="8"/>
  <c r="H934" i="8" s="1"/>
  <c r="H937" i="8"/>
  <c r="H940" i="8"/>
  <c r="H936" i="8" s="1"/>
  <c r="H1024" i="8"/>
  <c r="I1024" i="8"/>
  <c r="J1024" i="8"/>
  <c r="G1024" i="8"/>
  <c r="H679" i="8" l="1"/>
  <c r="H731" i="8"/>
  <c r="H353" i="8"/>
  <c r="H352" i="8" s="1"/>
  <c r="H850" i="8"/>
  <c r="H610" i="8"/>
  <c r="H242" i="8"/>
  <c r="H178" i="8"/>
  <c r="H95" i="8"/>
  <c r="J1093" i="8" l="1"/>
  <c r="I1093" i="8"/>
  <c r="H1093" i="8"/>
  <c r="J1091" i="8"/>
  <c r="I1091" i="8"/>
  <c r="H1091" i="8"/>
  <c r="J1084" i="8"/>
  <c r="I1084" i="8"/>
  <c r="H1084" i="8"/>
  <c r="J1081" i="8"/>
  <c r="I1081" i="8"/>
  <c r="H1081" i="8"/>
  <c r="J1079" i="8"/>
  <c r="J1078" i="8" s="1"/>
  <c r="I1079" i="8"/>
  <c r="I1078" i="8" s="1"/>
  <c r="H1079" i="8"/>
  <c r="H1078" i="8" s="1"/>
  <c r="I935" i="8"/>
  <c r="J787" i="8"/>
  <c r="I787" i="8"/>
  <c r="G787" i="8"/>
  <c r="F787" i="8"/>
  <c r="J728" i="8"/>
  <c r="I728" i="8"/>
  <c r="G728" i="8"/>
  <c r="F728" i="8"/>
  <c r="J715" i="8"/>
  <c r="I715" i="8"/>
  <c r="J332" i="8"/>
  <c r="I332" i="8"/>
  <c r="G332" i="8"/>
  <c r="F332" i="8"/>
  <c r="J239" i="8"/>
  <c r="I239" i="8"/>
  <c r="G239" i="8"/>
  <c r="F239" i="8"/>
  <c r="J219" i="8"/>
  <c r="I219" i="8"/>
  <c r="J160" i="8"/>
  <c r="I160" i="8"/>
  <c r="G160" i="8"/>
  <c r="F160" i="8"/>
  <c r="H1195" i="8"/>
  <c r="I1195" i="8"/>
  <c r="J1195" i="8"/>
  <c r="G1195" i="8"/>
  <c r="F1196" i="8"/>
  <c r="F1195" i="8"/>
  <c r="I1051" i="8"/>
  <c r="J1051" i="8"/>
  <c r="H1051" i="8"/>
  <c r="J934" i="8"/>
  <c r="I753" i="8"/>
  <c r="I752" i="8" s="1"/>
  <c r="J753" i="8"/>
  <c r="J752" i="8" s="1"/>
  <c r="I300" i="8"/>
  <c r="J300" i="8"/>
  <c r="G300" i="8"/>
  <c r="J152" i="8"/>
  <c r="I152" i="8"/>
  <c r="I660" i="8"/>
  <c r="J660" i="8"/>
  <c r="J1064" i="8" l="1"/>
  <c r="I1064" i="8"/>
  <c r="H1064" i="8"/>
  <c r="G1064" i="8"/>
  <c r="F1064" i="8"/>
  <c r="I937" i="8" l="1"/>
  <c r="J937" i="8"/>
  <c r="I116" i="8" l="1"/>
  <c r="J116" i="8"/>
  <c r="G585" i="8" l="1"/>
  <c r="J606" i="8"/>
  <c r="I606" i="8"/>
  <c r="J604" i="8"/>
  <c r="I604" i="8"/>
  <c r="J602" i="8"/>
  <c r="I602" i="8"/>
  <c r="J600" i="8"/>
  <c r="I600" i="8"/>
  <c r="J598" i="8"/>
  <c r="I598" i="8"/>
  <c r="J596" i="8"/>
  <c r="I596" i="8"/>
  <c r="J594" i="8"/>
  <c r="I594" i="8"/>
  <c r="J592" i="8"/>
  <c r="I592" i="8"/>
  <c r="J590" i="8"/>
  <c r="I590" i="8"/>
  <c r="J588" i="8"/>
  <c r="I588" i="8"/>
  <c r="J587" i="8"/>
  <c r="J586" i="8" s="1"/>
  <c r="I587" i="8"/>
  <c r="I586" i="8" s="1"/>
  <c r="I585" i="8" l="1"/>
  <c r="J585" i="8"/>
  <c r="G473" i="8"/>
  <c r="J474" i="8"/>
  <c r="J473" i="8" s="1"/>
  <c r="I474" i="8"/>
  <c r="I473" i="8" s="1"/>
  <c r="I940" i="8"/>
  <c r="J940" i="8"/>
  <c r="J237" i="8" l="1"/>
  <c r="I237" i="8"/>
  <c r="G237" i="8"/>
  <c r="F237" i="8"/>
  <c r="G176" i="8"/>
  <c r="J726" i="8" l="1"/>
  <c r="I726" i="8"/>
  <c r="G726" i="8"/>
  <c r="J93" i="8" l="1"/>
  <c r="I93" i="8"/>
  <c r="G93" i="8"/>
  <c r="J91" i="8"/>
  <c r="I91" i="8"/>
  <c r="G91" i="8"/>
  <c r="J89" i="8"/>
  <c r="I89" i="8"/>
  <c r="G89" i="8"/>
  <c r="J87" i="8"/>
  <c r="I87" i="8"/>
  <c r="G87" i="8"/>
  <c r="I75" i="8" l="1"/>
  <c r="J526" i="8" l="1"/>
  <c r="I526" i="8"/>
  <c r="I534" i="8" l="1"/>
  <c r="J534" i="8"/>
  <c r="I536" i="8"/>
  <c r="J536" i="8"/>
  <c r="I538" i="8"/>
  <c r="J538" i="8"/>
  <c r="I540" i="8"/>
  <c r="J540" i="8"/>
  <c r="I542" i="8"/>
  <c r="J542" i="8"/>
  <c r="I544" i="8"/>
  <c r="J544" i="8"/>
  <c r="I546" i="8"/>
  <c r="J546" i="8"/>
  <c r="I548" i="8"/>
  <c r="J548" i="8"/>
  <c r="I550" i="8"/>
  <c r="J550" i="8"/>
  <c r="I552" i="8"/>
  <c r="J552" i="8"/>
  <c r="I554" i="8"/>
  <c r="J554" i="8"/>
  <c r="I556" i="8"/>
  <c r="J556" i="8"/>
  <c r="I558" i="8"/>
  <c r="J558" i="8"/>
  <c r="I561" i="8"/>
  <c r="J561" i="8"/>
  <c r="I563" i="8"/>
  <c r="J563" i="8"/>
  <c r="I565" i="8"/>
  <c r="J565" i="8"/>
  <c r="I567" i="8"/>
  <c r="J567" i="8"/>
  <c r="I569" i="8"/>
  <c r="J569" i="8"/>
  <c r="I571" i="8"/>
  <c r="J571" i="8"/>
  <c r="I573" i="8"/>
  <c r="J573" i="8"/>
  <c r="I575" i="8"/>
  <c r="J575" i="8"/>
  <c r="I577" i="8"/>
  <c r="J577" i="8"/>
  <c r="I579" i="8"/>
  <c r="J579" i="8"/>
  <c r="I581" i="8"/>
  <c r="J581" i="8"/>
  <c r="J441" i="8" l="1"/>
  <c r="I441" i="8"/>
  <c r="J439" i="8"/>
  <c r="I439" i="8"/>
  <c r="J436" i="8"/>
  <c r="I436" i="8"/>
  <c r="J434" i="8"/>
  <c r="I434" i="8"/>
  <c r="J432" i="8"/>
  <c r="I432" i="8"/>
  <c r="J430" i="8"/>
  <c r="I430" i="8"/>
  <c r="J428" i="8"/>
  <c r="I428" i="8"/>
  <c r="J426" i="8"/>
  <c r="I426" i="8"/>
  <c r="J424" i="8"/>
  <c r="I424" i="8"/>
  <c r="J422" i="8"/>
  <c r="I422" i="8"/>
  <c r="J420" i="8"/>
  <c r="I420" i="8"/>
  <c r="J418" i="8"/>
  <c r="I418" i="8"/>
  <c r="J416" i="8"/>
  <c r="I416" i="8"/>
  <c r="J414" i="8"/>
  <c r="I414" i="8"/>
  <c r="J412" i="8"/>
  <c r="I412" i="8"/>
  <c r="J410" i="8"/>
  <c r="I410" i="8"/>
  <c r="J408" i="8"/>
  <c r="I408" i="8"/>
  <c r="J407" i="8"/>
  <c r="J406" i="8" s="1"/>
  <c r="I407" i="8"/>
  <c r="I406" i="8" s="1"/>
  <c r="J404" i="8"/>
  <c r="I404" i="8"/>
  <c r="J401" i="8"/>
  <c r="I401" i="8"/>
  <c r="J399" i="8"/>
  <c r="I399" i="8"/>
  <c r="J397" i="8"/>
  <c r="I397" i="8"/>
  <c r="J395" i="8"/>
  <c r="I395" i="8"/>
  <c r="J393" i="8"/>
  <c r="I393" i="8"/>
  <c r="J391" i="8"/>
  <c r="I391" i="8"/>
  <c r="J389" i="8"/>
  <c r="I389" i="8"/>
  <c r="J387" i="8"/>
  <c r="I387" i="8"/>
  <c r="J385" i="8"/>
  <c r="I385" i="8"/>
  <c r="J383" i="8"/>
  <c r="I383" i="8"/>
  <c r="J382" i="8"/>
  <c r="J381" i="8" s="1"/>
  <c r="I382" i="8"/>
  <c r="I381" i="8" s="1"/>
  <c r="J379" i="8"/>
  <c r="I379" i="8"/>
  <c r="J376" i="8"/>
  <c r="I376" i="8"/>
  <c r="J374" i="8"/>
  <c r="I374" i="8"/>
  <c r="J372" i="8"/>
  <c r="I372" i="8"/>
  <c r="J370" i="8"/>
  <c r="I370" i="8"/>
  <c r="J368" i="8"/>
  <c r="I368" i="8"/>
  <c r="J366" i="8"/>
  <c r="I366" i="8"/>
  <c r="J364" i="8"/>
  <c r="I364" i="8"/>
  <c r="J362" i="8"/>
  <c r="I362" i="8"/>
  <c r="J360" i="8"/>
  <c r="I360" i="8"/>
  <c r="J358" i="8"/>
  <c r="I358" i="8"/>
  <c r="J357" i="8"/>
  <c r="J356" i="8" s="1"/>
  <c r="I357" i="8"/>
  <c r="I356" i="8" s="1"/>
  <c r="J354" i="8"/>
  <c r="I354" i="8"/>
  <c r="I438" i="8" l="1"/>
  <c r="I403" i="8"/>
  <c r="J403" i="8"/>
  <c r="J378" i="8"/>
  <c r="J438" i="8"/>
  <c r="I378" i="8"/>
  <c r="J353" i="8"/>
  <c r="I353" i="8"/>
  <c r="I56" i="8"/>
  <c r="J56" i="8"/>
  <c r="I19" i="8" l="1"/>
  <c r="J19" i="8"/>
  <c r="I467" i="8" l="1"/>
  <c r="I452" i="8"/>
  <c r="J452" i="8"/>
  <c r="I447" i="8" l="1"/>
  <c r="J447" i="8" l="1"/>
  <c r="I714" i="8"/>
  <c r="G56" i="8"/>
  <c r="G191" i="8"/>
  <c r="G193" i="8"/>
  <c r="G195" i="8"/>
  <c r="G197" i="8"/>
  <c r="G199" i="8"/>
  <c r="G201" i="8"/>
  <c r="G203" i="8"/>
  <c r="G205" i="8"/>
  <c r="G209" i="8"/>
  <c r="G211" i="8"/>
  <c r="G213" i="8"/>
  <c r="G216" i="8"/>
  <c r="G218" i="8"/>
  <c r="G226" i="8"/>
  <c r="G327" i="8" l="1"/>
  <c r="I754" i="8" l="1"/>
  <c r="J754" i="8"/>
  <c r="I947" i="8"/>
  <c r="J947" i="8"/>
  <c r="H983" i="8"/>
  <c r="F732" i="8"/>
  <c r="I176" i="8"/>
  <c r="G166" i="8"/>
  <c r="I213" i="8" l="1"/>
  <c r="J213" i="8"/>
  <c r="I923" i="8" l="1"/>
  <c r="J923" i="8"/>
  <c r="F929" i="8" l="1"/>
  <c r="G929" i="8"/>
  <c r="I929" i="8"/>
  <c r="J929" i="8"/>
  <c r="I918" i="8" l="1"/>
  <c r="J918" i="8"/>
  <c r="G847" i="8" l="1"/>
  <c r="G846" i="8" s="1"/>
  <c r="I847" i="8"/>
  <c r="I846" i="8" s="1"/>
  <c r="J847" i="8"/>
  <c r="J846" i="8" s="1"/>
  <c r="F847" i="8"/>
  <c r="F846" i="8" s="1"/>
  <c r="F842" i="8"/>
  <c r="F841" i="8" s="1"/>
  <c r="G842" i="8"/>
  <c r="G841" i="8" s="1"/>
  <c r="I842" i="8"/>
  <c r="I841" i="8" s="1"/>
  <c r="J842" i="8"/>
  <c r="J841" i="8" s="1"/>
  <c r="J837" i="8"/>
  <c r="J836" i="8" s="1"/>
  <c r="I837" i="8"/>
  <c r="I836" i="8" s="1"/>
  <c r="G837" i="8"/>
  <c r="G836" i="8" s="1"/>
  <c r="F837" i="8"/>
  <c r="F836" i="8" s="1"/>
  <c r="I832" i="8"/>
  <c r="I831" i="8" s="1"/>
  <c r="J832" i="8"/>
  <c r="J831" i="8" s="1"/>
  <c r="J717" i="8" l="1"/>
  <c r="J716" i="8" s="1"/>
  <c r="I717" i="8"/>
  <c r="I716" i="8" s="1"/>
  <c r="G717" i="8"/>
  <c r="G716" i="8" s="1"/>
  <c r="F717" i="8"/>
  <c r="F716" i="8" s="1"/>
  <c r="G711" i="8"/>
  <c r="G710" i="8" s="1"/>
  <c r="I711" i="8"/>
  <c r="I710" i="8" s="1"/>
  <c r="J711" i="8"/>
  <c r="J710" i="8" s="1"/>
  <c r="G708" i="8"/>
  <c r="G707" i="8" s="1"/>
  <c r="I708" i="8"/>
  <c r="I707" i="8" s="1"/>
  <c r="J708" i="8"/>
  <c r="J707" i="8" s="1"/>
  <c r="G702" i="8"/>
  <c r="I702" i="8"/>
  <c r="J702" i="8"/>
  <c r="F702" i="8"/>
  <c r="J176" i="8" l="1"/>
  <c r="F440" i="8" l="1"/>
  <c r="G612" i="8" l="1"/>
  <c r="I448" i="8" l="1"/>
  <c r="J448" i="8"/>
  <c r="J657" i="8" l="1"/>
  <c r="I657" i="8"/>
  <c r="G657" i="8"/>
  <c r="F657" i="8"/>
  <c r="J655" i="8"/>
  <c r="I655" i="8"/>
  <c r="G655" i="8"/>
  <c r="F655" i="8"/>
  <c r="J653" i="8"/>
  <c r="I653" i="8"/>
  <c r="G653" i="8"/>
  <c r="F653" i="8"/>
  <c r="J651" i="8"/>
  <c r="I651" i="8"/>
  <c r="G651" i="8"/>
  <c r="F651" i="8"/>
  <c r="J649" i="8"/>
  <c r="I649" i="8"/>
  <c r="G649" i="8"/>
  <c r="F649" i="8"/>
  <c r="J647" i="8"/>
  <c r="I647" i="8"/>
  <c r="G647" i="8"/>
  <c r="F647" i="8"/>
  <c r="J645" i="8"/>
  <c r="I645" i="8"/>
  <c r="G645" i="8"/>
  <c r="F645" i="8"/>
  <c r="J643" i="8"/>
  <c r="I643" i="8"/>
  <c r="G643" i="8"/>
  <c r="F643" i="8"/>
  <c r="J641" i="8"/>
  <c r="I641" i="8"/>
  <c r="G641" i="8"/>
  <c r="F641" i="8"/>
  <c r="J639" i="8"/>
  <c r="I639" i="8"/>
  <c r="G639" i="8"/>
  <c r="F639" i="8"/>
  <c r="J637" i="8"/>
  <c r="I637" i="8"/>
  <c r="G637" i="8"/>
  <c r="F637" i="8"/>
  <c r="J635" i="8"/>
  <c r="I635" i="8"/>
  <c r="G635" i="8"/>
  <c r="F635" i="8"/>
  <c r="J634" i="8" l="1"/>
  <c r="F634" i="8"/>
  <c r="G634" i="8"/>
  <c r="I634" i="8"/>
  <c r="H1096" i="8"/>
  <c r="I1096" i="8"/>
  <c r="J1096" i="8"/>
  <c r="H1087" i="8"/>
  <c r="H1086" i="8" s="1"/>
  <c r="I1087" i="8"/>
  <c r="I1086" i="8" s="1"/>
  <c r="J1087" i="8"/>
  <c r="J1086" i="8" s="1"/>
  <c r="J1068" i="8"/>
  <c r="I1068" i="8"/>
  <c r="H1068" i="8"/>
  <c r="G1068" i="8"/>
  <c r="F1068" i="8"/>
  <c r="J826" i="8"/>
  <c r="J825" i="8" s="1"/>
  <c r="I826" i="8"/>
  <c r="I825" i="8" s="1"/>
  <c r="G826" i="8"/>
  <c r="F826" i="8"/>
  <c r="F820" i="8"/>
  <c r="G820" i="8"/>
  <c r="I820" i="8"/>
  <c r="J820" i="8"/>
  <c r="G816" i="8"/>
  <c r="I816" i="8"/>
  <c r="I811" i="8" s="1"/>
  <c r="J816" i="8"/>
  <c r="J811" i="8" s="1"/>
  <c r="F816" i="8"/>
  <c r="G807" i="8"/>
  <c r="I807" i="8"/>
  <c r="J807" i="8"/>
  <c r="I791" i="8"/>
  <c r="J791" i="8"/>
  <c r="F711" i="8"/>
  <c r="F710" i="8" s="1"/>
  <c r="G296" i="8"/>
  <c r="I296" i="8"/>
  <c r="J296" i="8"/>
  <c r="F296" i="8"/>
  <c r="J226" i="8" l="1"/>
  <c r="I226" i="8"/>
  <c r="F229" i="8"/>
  <c r="G229" i="8"/>
  <c r="G225" i="8" s="1"/>
  <c r="I229" i="8"/>
  <c r="J229" i="8"/>
  <c r="I225" i="8" l="1"/>
  <c r="J225" i="8"/>
  <c r="I174" i="8"/>
  <c r="J174" i="8"/>
  <c r="I618" i="8" l="1"/>
  <c r="J618" i="8"/>
  <c r="I612" i="8"/>
  <c r="J612" i="8"/>
  <c r="J525" i="8"/>
  <c r="I525" i="8"/>
  <c r="G528" i="8"/>
  <c r="I528" i="8"/>
  <c r="J528" i="8"/>
  <c r="F528" i="8"/>
  <c r="G525" i="8"/>
  <c r="F525" i="8"/>
  <c r="I917" i="8"/>
  <c r="J917" i="8" s="1"/>
  <c r="I915" i="8"/>
  <c r="J915" i="8" s="1"/>
  <c r="I913" i="8"/>
  <c r="J913" i="8" s="1"/>
  <c r="I911" i="8"/>
  <c r="J911" i="8" s="1"/>
  <c r="I909" i="8"/>
  <c r="J909" i="8" s="1"/>
  <c r="I907" i="8"/>
  <c r="J907" i="8" s="1"/>
  <c r="I905" i="8"/>
  <c r="J905" i="8" s="1"/>
  <c r="I903" i="8"/>
  <c r="J903" i="8" s="1"/>
  <c r="I901" i="8"/>
  <c r="J901" i="8" s="1"/>
  <c r="I524" i="8" l="1"/>
  <c r="G524" i="8"/>
  <c r="F524" i="8"/>
  <c r="J524" i="8"/>
  <c r="J107" i="8"/>
  <c r="I107" i="8" l="1"/>
  <c r="H1175" i="8" l="1"/>
  <c r="I1175" i="8"/>
  <c r="J1175" i="8"/>
  <c r="H1177" i="8"/>
  <c r="I1177" i="8"/>
  <c r="J1177" i="8"/>
  <c r="H1179" i="8"/>
  <c r="I1179" i="8"/>
  <c r="J1179" i="8"/>
  <c r="H1181" i="8"/>
  <c r="I1181" i="8"/>
  <c r="J1181" i="8"/>
  <c r="J1185" i="8"/>
  <c r="H1183" i="8"/>
  <c r="I1183" i="8"/>
  <c r="J1183" i="8"/>
  <c r="H1185" i="8"/>
  <c r="I1185" i="8"/>
  <c r="H1187" i="8"/>
  <c r="I1187" i="8"/>
  <c r="J1187" i="8"/>
  <c r="H1189" i="8"/>
  <c r="I1189" i="8"/>
  <c r="J1189" i="8"/>
  <c r="H1191" i="8"/>
  <c r="I1191" i="8"/>
  <c r="J1191" i="8"/>
  <c r="H1193" i="8"/>
  <c r="I1193" i="8"/>
  <c r="J1193" i="8"/>
  <c r="H1173" i="8"/>
  <c r="I1173" i="8"/>
  <c r="J1173" i="8"/>
  <c r="H1170" i="8"/>
  <c r="I1170" i="8"/>
  <c r="J1170" i="8"/>
  <c r="H1168" i="8"/>
  <c r="I1168" i="8"/>
  <c r="J1168" i="8"/>
  <c r="H1166" i="8"/>
  <c r="I1166" i="8"/>
  <c r="J1166" i="8"/>
  <c r="H1164" i="8"/>
  <c r="I1164" i="8"/>
  <c r="J1164" i="8"/>
  <c r="H1162" i="8"/>
  <c r="I1162" i="8"/>
  <c r="J1162" i="8"/>
  <c r="H1160" i="8"/>
  <c r="I1160" i="8"/>
  <c r="J1160" i="8"/>
  <c r="H1158" i="8"/>
  <c r="I1158" i="8"/>
  <c r="J1158" i="8"/>
  <c r="H1156" i="8"/>
  <c r="I1156" i="8"/>
  <c r="J1156" i="8"/>
  <c r="H1154" i="8"/>
  <c r="I1154" i="8"/>
  <c r="J1154" i="8"/>
  <c r="H1152" i="8"/>
  <c r="I1152" i="8"/>
  <c r="J1152" i="8"/>
  <c r="H1150" i="8"/>
  <c r="I1150" i="8"/>
  <c r="J1150" i="8"/>
  <c r="H1147" i="8"/>
  <c r="I1147" i="8"/>
  <c r="J1147" i="8"/>
  <c r="H1145" i="8"/>
  <c r="I1145" i="8"/>
  <c r="J1145" i="8"/>
  <c r="H1143" i="8"/>
  <c r="I1143" i="8"/>
  <c r="J1143" i="8"/>
  <c r="H1141" i="8"/>
  <c r="I1141" i="8"/>
  <c r="J1141" i="8"/>
  <c r="H1139" i="8"/>
  <c r="I1139" i="8"/>
  <c r="J1139" i="8"/>
  <c r="H1137" i="8"/>
  <c r="I1137" i="8"/>
  <c r="J1137" i="8"/>
  <c r="H1135" i="8"/>
  <c r="I1135" i="8"/>
  <c r="J1135" i="8"/>
  <c r="H1133" i="8"/>
  <c r="I1133" i="8"/>
  <c r="J1133" i="8"/>
  <c r="J1131" i="8"/>
  <c r="H1131" i="8"/>
  <c r="I1131" i="8"/>
  <c r="H1129" i="8"/>
  <c r="I1129" i="8"/>
  <c r="J1129" i="8"/>
  <c r="H1127" i="8"/>
  <c r="I1127" i="8"/>
  <c r="J1127" i="8"/>
  <c r="H1125" i="8"/>
  <c r="I1125" i="8"/>
  <c r="J1125" i="8"/>
  <c r="H1122" i="8"/>
  <c r="I1122" i="8"/>
  <c r="J1122" i="8"/>
  <c r="H1120" i="8"/>
  <c r="I1120" i="8"/>
  <c r="J1120" i="8"/>
  <c r="H1118" i="8"/>
  <c r="I1118" i="8"/>
  <c r="J1118" i="8"/>
  <c r="H1116" i="8"/>
  <c r="I1116" i="8"/>
  <c r="J1116" i="8"/>
  <c r="H1114" i="8"/>
  <c r="I1114" i="8"/>
  <c r="J1114" i="8"/>
  <c r="H1112" i="8"/>
  <c r="I1112" i="8"/>
  <c r="J1112" i="8"/>
  <c r="H1110" i="8"/>
  <c r="I1110" i="8"/>
  <c r="J1110" i="8"/>
  <c r="H1108" i="8"/>
  <c r="I1108" i="8"/>
  <c r="J1108" i="8"/>
  <c r="H1106" i="8"/>
  <c r="I1106" i="8"/>
  <c r="J1106" i="8"/>
  <c r="J1104" i="8"/>
  <c r="I1104" i="8"/>
  <c r="H1104" i="8"/>
  <c r="J888" i="8"/>
  <c r="I888" i="8"/>
  <c r="J886" i="8"/>
  <c r="I886" i="8"/>
  <c r="J884" i="8"/>
  <c r="I884" i="8"/>
  <c r="J882" i="8"/>
  <c r="I882" i="8"/>
  <c r="J880" i="8"/>
  <c r="I880" i="8"/>
  <c r="J878" i="8"/>
  <c r="I878" i="8"/>
  <c r="J876" i="8"/>
  <c r="I876" i="8"/>
  <c r="J874" i="8"/>
  <c r="I874" i="8"/>
  <c r="J872" i="8"/>
  <c r="I872" i="8"/>
  <c r="J870" i="8"/>
  <c r="I870" i="8"/>
  <c r="J868" i="8"/>
  <c r="I868" i="8"/>
  <c r="J866" i="8"/>
  <c r="I866" i="8"/>
  <c r="J864" i="8"/>
  <c r="I864" i="8"/>
  <c r="I851" i="8"/>
  <c r="J851" i="8"/>
  <c r="G452" i="8"/>
  <c r="F452" i="8"/>
  <c r="J863" i="8" l="1"/>
  <c r="I1149" i="8"/>
  <c r="H1172" i="8"/>
  <c r="I863" i="8"/>
  <c r="H1124" i="8"/>
  <c r="I1172" i="8"/>
  <c r="J1172" i="8"/>
  <c r="I1124" i="8"/>
  <c r="J1124" i="8"/>
  <c r="H1149" i="8"/>
  <c r="J1149" i="8"/>
  <c r="G128" i="8"/>
  <c r="I128" i="8"/>
  <c r="J128" i="8"/>
  <c r="F128" i="8"/>
  <c r="I122" i="8" l="1"/>
  <c r="J122" i="8"/>
  <c r="I120" i="8"/>
  <c r="J120" i="8"/>
  <c r="I109" i="8"/>
  <c r="J109" i="8"/>
  <c r="F100" i="8"/>
  <c r="I100" i="8"/>
  <c r="J100" i="8"/>
  <c r="I103" i="8"/>
  <c r="J103" i="8"/>
  <c r="G96" i="8"/>
  <c r="I96" i="8"/>
  <c r="J96" i="8"/>
  <c r="F96" i="8"/>
  <c r="J1047" i="8" l="1"/>
  <c r="I1047" i="8"/>
  <c r="H1047" i="8"/>
  <c r="G1047" i="8"/>
  <c r="F1047" i="8"/>
  <c r="H1019" i="8"/>
  <c r="I1019" i="8"/>
  <c r="J1019" i="8"/>
  <c r="H1022" i="8"/>
  <c r="I983" i="8"/>
  <c r="J983" i="8"/>
  <c r="H971" i="8"/>
  <c r="I764" i="8"/>
  <c r="F754" i="8"/>
  <c r="G754" i="8"/>
  <c r="I750" i="8"/>
  <c r="J750" i="8"/>
  <c r="I183" i="8" l="1"/>
  <c r="J183" i="8"/>
  <c r="I181" i="8"/>
  <c r="J181" i="8"/>
  <c r="I179" i="8"/>
  <c r="J179" i="8"/>
  <c r="J170" i="8" l="1"/>
  <c r="I170" i="8"/>
  <c r="I164" i="8" l="1"/>
  <c r="J164" i="8"/>
  <c r="I166" i="8"/>
  <c r="J166" i="8"/>
  <c r="I168" i="8"/>
  <c r="J168" i="8"/>
  <c r="I163" i="8" l="1"/>
  <c r="J163" i="8"/>
  <c r="F340" i="8"/>
  <c r="J348" i="8" l="1"/>
  <c r="I348" i="8"/>
  <c r="G348" i="8"/>
  <c r="F348" i="8"/>
  <c r="J340" i="8"/>
  <c r="I340" i="8"/>
  <c r="I336" i="8"/>
  <c r="J336" i="8"/>
  <c r="G561" i="8" l="1"/>
  <c r="F854" i="8"/>
  <c r="F853" i="8" s="1"/>
  <c r="G854" i="8"/>
  <c r="G853" i="8" s="1"/>
  <c r="I854" i="8"/>
  <c r="I853" i="8" s="1"/>
  <c r="J854" i="8"/>
  <c r="J853" i="8" s="1"/>
  <c r="I1058" i="8" l="1"/>
  <c r="H1058" i="8"/>
  <c r="H1038" i="8"/>
  <c r="I1025" i="8"/>
  <c r="H1025" i="8"/>
  <c r="I446" i="8"/>
  <c r="I456" i="8"/>
  <c r="I465" i="8"/>
  <c r="J521" i="8"/>
  <c r="I521" i="8"/>
  <c r="J519" i="8"/>
  <c r="I519" i="8"/>
  <c r="J517" i="8"/>
  <c r="I517" i="8"/>
  <c r="J515" i="8"/>
  <c r="I515" i="8"/>
  <c r="J513" i="8"/>
  <c r="I513" i="8"/>
  <c r="J511" i="8"/>
  <c r="I511" i="8"/>
  <c r="J509" i="8"/>
  <c r="I509" i="8"/>
  <c r="J507" i="8"/>
  <c r="I507" i="8"/>
  <c r="J505" i="8"/>
  <c r="I505" i="8"/>
  <c r="J503" i="8"/>
  <c r="I503" i="8"/>
  <c r="J501" i="8"/>
  <c r="I501" i="8"/>
  <c r="J499" i="8"/>
  <c r="I499" i="8"/>
  <c r="G467" i="8"/>
  <c r="F467" i="8"/>
  <c r="J467" i="8"/>
  <c r="I444" i="8"/>
  <c r="J444" i="8"/>
  <c r="I533" i="8" l="1"/>
  <c r="J560" i="8"/>
  <c r="J533" i="8"/>
  <c r="J498" i="8"/>
  <c r="I560" i="8"/>
  <c r="I498" i="8"/>
  <c r="F983" i="8" l="1"/>
  <c r="G724" i="8"/>
  <c r="I724" i="8"/>
  <c r="J724" i="8"/>
  <c r="F724" i="8"/>
  <c r="G722" i="8"/>
  <c r="I722" i="8"/>
  <c r="J722" i="8"/>
  <c r="F722" i="8"/>
  <c r="I218" i="8" l="1"/>
  <c r="J218" i="8"/>
  <c r="F218" i="8"/>
  <c r="F142" i="8"/>
  <c r="I142" i="8"/>
  <c r="G144" i="8"/>
  <c r="I144" i="8"/>
  <c r="J144" i="8"/>
  <c r="F144" i="8"/>
  <c r="G146" i="8"/>
  <c r="I146" i="8"/>
  <c r="J146" i="8"/>
  <c r="F146" i="8"/>
  <c r="G148" i="8"/>
  <c r="I148" i="8"/>
  <c r="J148" i="8"/>
  <c r="F148" i="8"/>
  <c r="G150" i="8"/>
  <c r="I150" i="8"/>
  <c r="J150" i="8"/>
  <c r="F150" i="8"/>
  <c r="G154" i="8"/>
  <c r="I154" i="8"/>
  <c r="J154" i="8"/>
  <c r="F154" i="8"/>
  <c r="G158" i="8"/>
  <c r="I158" i="8"/>
  <c r="J158" i="8"/>
  <c r="F158" i="8"/>
  <c r="I310" i="8" l="1"/>
  <c r="F300" i="8"/>
  <c r="F58" i="8"/>
  <c r="G58" i="8"/>
  <c r="I273" i="8" l="1"/>
  <c r="J273" i="8"/>
  <c r="F448" i="8"/>
  <c r="G918" i="8"/>
  <c r="F918" i="8"/>
  <c r="G750" i="8"/>
  <c r="F750" i="8"/>
  <c r="F767" i="8" l="1"/>
  <c r="F766" i="8" s="1"/>
  <c r="G10" i="8"/>
  <c r="G12" i="8"/>
  <c r="G14" i="8"/>
  <c r="G16" i="8"/>
  <c r="G19" i="8"/>
  <c r="G22" i="8"/>
  <c r="G24" i="8"/>
  <c r="G26" i="8"/>
  <c r="G28" i="8"/>
  <c r="G30" i="8"/>
  <c r="G32" i="8"/>
  <c r="G34" i="8"/>
  <c r="G36" i="8"/>
  <c r="G38" i="8"/>
  <c r="G40" i="8"/>
  <c r="G43" i="8"/>
  <c r="G45" i="8"/>
  <c r="G49" i="8"/>
  <c r="G52" i="8"/>
  <c r="G54" i="8"/>
  <c r="G61" i="8"/>
  <c r="G63" i="8"/>
  <c r="G65" i="8"/>
  <c r="G67" i="8"/>
  <c r="G69" i="8"/>
  <c r="G71" i="8"/>
  <c r="G73" i="8"/>
  <c r="G75" i="8"/>
  <c r="G77" i="8"/>
  <c r="G79" i="8"/>
  <c r="G81" i="8"/>
  <c r="G83" i="8"/>
  <c r="G85" i="8"/>
  <c r="G100" i="8"/>
  <c r="G103" i="8"/>
  <c r="G105" i="8"/>
  <c r="G107" i="8"/>
  <c r="G109" i="8"/>
  <c r="G112" i="8"/>
  <c r="G114" i="8"/>
  <c r="G116" i="8"/>
  <c r="G118" i="8"/>
  <c r="G120" i="8"/>
  <c r="G122" i="8"/>
  <c r="G124" i="8"/>
  <c r="G126" i="8"/>
  <c r="G131" i="8"/>
  <c r="G134" i="8"/>
  <c r="G137" i="8"/>
  <c r="G9" i="8" l="1"/>
  <c r="G102" i="8"/>
  <c r="G130" i="8"/>
  <c r="G111" i="8"/>
  <c r="F660" i="8" l="1"/>
  <c r="H947" i="8" l="1"/>
  <c r="H944" i="8"/>
  <c r="G785" i="8"/>
  <c r="I785" i="8"/>
  <c r="J785" i="8"/>
  <c r="F785" i="8"/>
  <c r="G783" i="8"/>
  <c r="I783" i="8"/>
  <c r="J783" i="8"/>
  <c r="F783" i="8"/>
  <c r="G174" i="8"/>
  <c r="F175" i="8"/>
  <c r="F174" i="8" s="1"/>
  <c r="I305" i="8" l="1"/>
  <c r="J305" i="8"/>
  <c r="F980" i="8" l="1"/>
  <c r="G980" i="8"/>
  <c r="H980" i="8"/>
  <c r="J980" i="8"/>
  <c r="I980" i="8"/>
  <c r="J85" i="8"/>
  <c r="I85" i="8"/>
  <c r="F85" i="8"/>
  <c r="J79" i="8"/>
  <c r="I79" i="8"/>
  <c r="F79" i="8"/>
  <c r="J34" i="8"/>
  <c r="J81" i="8"/>
  <c r="I81" i="8"/>
  <c r="F81" i="8"/>
  <c r="J83" i="8"/>
  <c r="I83" i="8"/>
  <c r="F83" i="8"/>
  <c r="G1193" i="8" l="1"/>
  <c r="F1193" i="8"/>
  <c r="G1191" i="8"/>
  <c r="F1191" i="8"/>
  <c r="G1189" i="8"/>
  <c r="F1189" i="8"/>
  <c r="G1187" i="8"/>
  <c r="F1187" i="8"/>
  <c r="G1185" i="8"/>
  <c r="F1185" i="8"/>
  <c r="G1183" i="8"/>
  <c r="F1183" i="8"/>
  <c r="G1181" i="8"/>
  <c r="F1181" i="8"/>
  <c r="G1179" i="8"/>
  <c r="F1179" i="8"/>
  <c r="G1177" i="8"/>
  <c r="F1177" i="8"/>
  <c r="G1175" i="8"/>
  <c r="F1175" i="8"/>
  <c r="G1173" i="8"/>
  <c r="F1173" i="8"/>
  <c r="G1170" i="8"/>
  <c r="F1170" i="8"/>
  <c r="G1168" i="8"/>
  <c r="F1168" i="8"/>
  <c r="G1166" i="8"/>
  <c r="F1166" i="8"/>
  <c r="G1164" i="8"/>
  <c r="F1164" i="8"/>
  <c r="G1162" i="8"/>
  <c r="F1162" i="8"/>
  <c r="G1160" i="8"/>
  <c r="F1160" i="8"/>
  <c r="G1158" i="8"/>
  <c r="F1158" i="8"/>
  <c r="G1156" i="8"/>
  <c r="F1156" i="8"/>
  <c r="G1154" i="8"/>
  <c r="F1154" i="8"/>
  <c r="G1152" i="8"/>
  <c r="F1152" i="8"/>
  <c r="G1150" i="8"/>
  <c r="F1150" i="8"/>
  <c r="G1147" i="8"/>
  <c r="F1147" i="8"/>
  <c r="G1145" i="8"/>
  <c r="F1145" i="8"/>
  <c r="G1143" i="8"/>
  <c r="F1143" i="8"/>
  <c r="G1141" i="8"/>
  <c r="F1141" i="8"/>
  <c r="G1139" i="8"/>
  <c r="F1139" i="8"/>
  <c r="G1137" i="8"/>
  <c r="F1137" i="8"/>
  <c r="G1135" i="8"/>
  <c r="F1135" i="8"/>
  <c r="G1133" i="8"/>
  <c r="F1133" i="8"/>
  <c r="G1131" i="8"/>
  <c r="F1131" i="8"/>
  <c r="G1129" i="8"/>
  <c r="F1129" i="8"/>
  <c r="G1127" i="8"/>
  <c r="F1127" i="8"/>
  <c r="G1125" i="8"/>
  <c r="F1125" i="8"/>
  <c r="G1122" i="8"/>
  <c r="F1122" i="8"/>
  <c r="G1120" i="8"/>
  <c r="F1120" i="8"/>
  <c r="G1118" i="8"/>
  <c r="F1118" i="8"/>
  <c r="G1116" i="8"/>
  <c r="F1116" i="8"/>
  <c r="G1114" i="8"/>
  <c r="F1114" i="8"/>
  <c r="G1112" i="8"/>
  <c r="F1112" i="8"/>
  <c r="G1110" i="8"/>
  <c r="F1110" i="8"/>
  <c r="G1108" i="8"/>
  <c r="F1108" i="8"/>
  <c r="G1106" i="8"/>
  <c r="F1106" i="8"/>
  <c r="G1104" i="8"/>
  <c r="F1104" i="8"/>
  <c r="G1102" i="8"/>
  <c r="H1102" i="8"/>
  <c r="I1102" i="8"/>
  <c r="J1102" i="8"/>
  <c r="F1102" i="8"/>
  <c r="G1100" i="8"/>
  <c r="H1100" i="8"/>
  <c r="I1100" i="8"/>
  <c r="J1100" i="8"/>
  <c r="F1100" i="8"/>
  <c r="J1099" i="8" l="1"/>
  <c r="I1099" i="8"/>
  <c r="I1098" i="8" s="1"/>
  <c r="H1099" i="8"/>
  <c r="G1172" i="8"/>
  <c r="F1124" i="8"/>
  <c r="F1172" i="8"/>
  <c r="F1099" i="8"/>
  <c r="G1149" i="8"/>
  <c r="F1149" i="8"/>
  <c r="G1099" i="8"/>
  <c r="G1124" i="8"/>
  <c r="J1098" i="8" l="1"/>
  <c r="H1098" i="8"/>
  <c r="G1098" i="8"/>
  <c r="F1098" i="8"/>
  <c r="G1096" i="8"/>
  <c r="F1093" i="8"/>
  <c r="F1091" i="8"/>
  <c r="G1093" i="8"/>
  <c r="G1091" i="8"/>
  <c r="F1087" i="8"/>
  <c r="F1086" i="8" s="1"/>
  <c r="G1087" i="8"/>
  <c r="G1086" i="8" s="1"/>
  <c r="H1090" i="8" l="1"/>
  <c r="I1090" i="8"/>
  <c r="J1090" i="8"/>
  <c r="G1090" i="8"/>
  <c r="F1090" i="8"/>
  <c r="F1084" i="8" l="1"/>
  <c r="F1081" i="8"/>
  <c r="F1078" i="8"/>
  <c r="G1084" i="8"/>
  <c r="G1081" i="8"/>
  <c r="G1080" i="8"/>
  <c r="G1079" i="8"/>
  <c r="F1075" i="8"/>
  <c r="F1073" i="8"/>
  <c r="G1075" i="8"/>
  <c r="G1073" i="8"/>
  <c r="H1077" i="8" l="1"/>
  <c r="J1077" i="8"/>
  <c r="I1077" i="8"/>
  <c r="G1078" i="8"/>
  <c r="G1077" i="8" s="1"/>
  <c r="G1072" i="8"/>
  <c r="F1072" i="8"/>
  <c r="G1070" i="8"/>
  <c r="H1070" i="8"/>
  <c r="H1067" i="8" s="1"/>
  <c r="I1070" i="8"/>
  <c r="I1067" i="8" s="1"/>
  <c r="J1070" i="8"/>
  <c r="J1067" i="8" s="1"/>
  <c r="F1070" i="8"/>
  <c r="F1067" i="8" l="1"/>
  <c r="G1067" i="8"/>
  <c r="F1066" i="8" l="1"/>
  <c r="G1066" i="8"/>
  <c r="G1058" i="8"/>
  <c r="J1058" i="8"/>
  <c r="F1058" i="8"/>
  <c r="G1060" i="8"/>
  <c r="H1060" i="8"/>
  <c r="I1060" i="8"/>
  <c r="J1060" i="8"/>
  <c r="F1060" i="8"/>
  <c r="G1062" i="8"/>
  <c r="H1062" i="8"/>
  <c r="I1062" i="8"/>
  <c r="J1062" i="8"/>
  <c r="F1062" i="8"/>
  <c r="G1053" i="8"/>
  <c r="H1053" i="8"/>
  <c r="I1053" i="8"/>
  <c r="J1053" i="8"/>
  <c r="F1053" i="8"/>
  <c r="H1055" i="8"/>
  <c r="G1055" i="8"/>
  <c r="I1055" i="8"/>
  <c r="J1055" i="8"/>
  <c r="F1055" i="8"/>
  <c r="F1042" i="8"/>
  <c r="G1045" i="8"/>
  <c r="G1044" i="8" s="1"/>
  <c r="H1045" i="8"/>
  <c r="H1044" i="8" s="1"/>
  <c r="I1045" i="8"/>
  <c r="I1044" i="8" s="1"/>
  <c r="J1045" i="8"/>
  <c r="J1044" i="8" s="1"/>
  <c r="F1045" i="8"/>
  <c r="F1044" i="8" s="1"/>
  <c r="G1042" i="8"/>
  <c r="H1042" i="8"/>
  <c r="I1042" i="8"/>
  <c r="J1042" i="8"/>
  <c r="G1040" i="8"/>
  <c r="H1040" i="8"/>
  <c r="I1040" i="8"/>
  <c r="J1040" i="8"/>
  <c r="F1040" i="8"/>
  <c r="G1038" i="8"/>
  <c r="I1038" i="8"/>
  <c r="J1038" i="8"/>
  <c r="F1038" i="8"/>
  <c r="G1036" i="8"/>
  <c r="H1036" i="8"/>
  <c r="I1036" i="8"/>
  <c r="J1036" i="8"/>
  <c r="F1036" i="8"/>
  <c r="G1033" i="8"/>
  <c r="H1033" i="8"/>
  <c r="I1033" i="8"/>
  <c r="J1033" i="8"/>
  <c r="F1033" i="8"/>
  <c r="G1031" i="8"/>
  <c r="H1031" i="8"/>
  <c r="I1031" i="8"/>
  <c r="J1031" i="8"/>
  <c r="F1031" i="8"/>
  <c r="G1029" i="8"/>
  <c r="H1029" i="8"/>
  <c r="I1029" i="8"/>
  <c r="J1029" i="8"/>
  <c r="F1029" i="8"/>
  <c r="G1027" i="8"/>
  <c r="H1027" i="8"/>
  <c r="I1027" i="8"/>
  <c r="J1027" i="8"/>
  <c r="F1027" i="8"/>
  <c r="F1025" i="8"/>
  <c r="J1025" i="8"/>
  <c r="G1025" i="8"/>
  <c r="F1019" i="8"/>
  <c r="G1019" i="8"/>
  <c r="G1022" i="8"/>
  <c r="I1022" i="8"/>
  <c r="J1022" i="8"/>
  <c r="F1022" i="8"/>
  <c r="G1017" i="8"/>
  <c r="H1017" i="8"/>
  <c r="I1017" i="8"/>
  <c r="J1017" i="8"/>
  <c r="F1017" i="8"/>
  <c r="G1015" i="8"/>
  <c r="H1015" i="8"/>
  <c r="I1015" i="8"/>
  <c r="J1015" i="8"/>
  <c r="F1015" i="8"/>
  <c r="G993" i="8"/>
  <c r="H993" i="8"/>
  <c r="I993" i="8"/>
  <c r="J993" i="8"/>
  <c r="G995" i="8"/>
  <c r="H995" i="8"/>
  <c r="I995" i="8"/>
  <c r="J995" i="8"/>
  <c r="G997" i="8"/>
  <c r="H997" i="8"/>
  <c r="I997" i="8"/>
  <c r="J997" i="8"/>
  <c r="G999" i="8"/>
  <c r="H999" i="8"/>
  <c r="I999" i="8"/>
  <c r="J999" i="8"/>
  <c r="G1001" i="8"/>
  <c r="H1001" i="8"/>
  <c r="I1001" i="8"/>
  <c r="J1001" i="8"/>
  <c r="G1003" i="8"/>
  <c r="H1003" i="8"/>
  <c r="I1003" i="8"/>
  <c r="J1003" i="8"/>
  <c r="G1005" i="8"/>
  <c r="H1005" i="8"/>
  <c r="I1005" i="8"/>
  <c r="J1005" i="8"/>
  <c r="G1007" i="8"/>
  <c r="H1007" i="8"/>
  <c r="I1007" i="8"/>
  <c r="J1007" i="8"/>
  <c r="G1009" i="8"/>
  <c r="H1009" i="8"/>
  <c r="I1009" i="8"/>
  <c r="J1009" i="8"/>
  <c r="G1011" i="8"/>
  <c r="H1011" i="8"/>
  <c r="I1011" i="8"/>
  <c r="J1011" i="8"/>
  <c r="G1013" i="8"/>
  <c r="H1013" i="8"/>
  <c r="I1013" i="8"/>
  <c r="J1013" i="8"/>
  <c r="F1013" i="8"/>
  <c r="F1011" i="8"/>
  <c r="F1009" i="8"/>
  <c r="F1007" i="8"/>
  <c r="F1005" i="8"/>
  <c r="F1003" i="8"/>
  <c r="F1001" i="8"/>
  <c r="F999" i="8"/>
  <c r="F997" i="8"/>
  <c r="F995" i="8"/>
  <c r="F993" i="8"/>
  <c r="G990" i="8"/>
  <c r="H990" i="8"/>
  <c r="I990" i="8"/>
  <c r="J990" i="8"/>
  <c r="F990" i="8"/>
  <c r="G988" i="8"/>
  <c r="H988" i="8"/>
  <c r="I988" i="8"/>
  <c r="J988" i="8"/>
  <c r="F988" i="8"/>
  <c r="G983" i="8"/>
  <c r="G986" i="8"/>
  <c r="H986" i="8"/>
  <c r="I986" i="8"/>
  <c r="J986" i="8"/>
  <c r="F986" i="8"/>
  <c r="G975" i="8"/>
  <c r="H975" i="8"/>
  <c r="I975" i="8"/>
  <c r="J975" i="8"/>
  <c r="G971" i="8"/>
  <c r="I971" i="8"/>
  <c r="J971" i="8"/>
  <c r="F971" i="8"/>
  <c r="G973" i="8"/>
  <c r="H973" i="8"/>
  <c r="I973" i="8"/>
  <c r="J973" i="8"/>
  <c r="F973" i="8"/>
  <c r="F975" i="8"/>
  <c r="G977" i="8"/>
  <c r="H977" i="8"/>
  <c r="I977" i="8"/>
  <c r="J977" i="8"/>
  <c r="F977" i="8"/>
  <c r="G951" i="8"/>
  <c r="H951" i="8"/>
  <c r="I951" i="8"/>
  <c r="J951" i="8"/>
  <c r="F951" i="8"/>
  <c r="G949" i="8"/>
  <c r="H949" i="8"/>
  <c r="I949" i="8"/>
  <c r="J949" i="8"/>
  <c r="F949" i="8"/>
  <c r="F955" i="8"/>
  <c r="G955" i="8"/>
  <c r="H953" i="8"/>
  <c r="I953" i="8"/>
  <c r="J953" i="8"/>
  <c r="F953" i="8"/>
  <c r="G953" i="8"/>
  <c r="H957" i="8"/>
  <c r="I957" i="8"/>
  <c r="J957" i="8"/>
  <c r="H955" i="8"/>
  <c r="I955" i="8"/>
  <c r="J955" i="8"/>
  <c r="F957" i="8"/>
  <c r="G957" i="8"/>
  <c r="H959" i="8"/>
  <c r="I959" i="8"/>
  <c r="J959" i="8"/>
  <c r="F959" i="8"/>
  <c r="G959" i="8"/>
  <c r="F961" i="8"/>
  <c r="G961" i="8"/>
  <c r="G967" i="8"/>
  <c r="H967" i="8"/>
  <c r="I967" i="8"/>
  <c r="J967" i="8"/>
  <c r="G965" i="8"/>
  <c r="H965" i="8"/>
  <c r="I965" i="8"/>
  <c r="J965" i="8"/>
  <c r="G963" i="8"/>
  <c r="H963" i="8"/>
  <c r="I963" i="8"/>
  <c r="J963" i="8"/>
  <c r="F963" i="8"/>
  <c r="F965" i="8"/>
  <c r="F967" i="8"/>
  <c r="G944" i="8"/>
  <c r="I944" i="8"/>
  <c r="I936" i="8" s="1"/>
  <c r="J944" i="8"/>
  <c r="J936" i="8" s="1"/>
  <c r="F944" i="8"/>
  <c r="F940" i="8"/>
  <c r="G940" i="8"/>
  <c r="F937" i="8"/>
  <c r="G937" i="8"/>
  <c r="I934" i="8"/>
  <c r="G934" i="8"/>
  <c r="G923" i="8"/>
  <c r="G916" i="8"/>
  <c r="I916" i="8"/>
  <c r="J916" i="8"/>
  <c r="F916" i="8"/>
  <c r="G914" i="8"/>
  <c r="I914" i="8"/>
  <c r="J914" i="8"/>
  <c r="F914" i="8"/>
  <c r="G912" i="8"/>
  <c r="I912" i="8"/>
  <c r="J912" i="8"/>
  <c r="F912" i="8"/>
  <c r="G910" i="8"/>
  <c r="I910" i="8"/>
  <c r="J910" i="8"/>
  <c r="F910" i="8"/>
  <c r="G908" i="8"/>
  <c r="I908" i="8"/>
  <c r="J908" i="8"/>
  <c r="F908" i="8"/>
  <c r="G906" i="8"/>
  <c r="I906" i="8"/>
  <c r="J906" i="8"/>
  <c r="F906" i="8"/>
  <c r="G904" i="8"/>
  <c r="I904" i="8"/>
  <c r="J904" i="8"/>
  <c r="F904" i="8"/>
  <c r="G902" i="8"/>
  <c r="I902" i="8"/>
  <c r="J902" i="8"/>
  <c r="F902" i="8"/>
  <c r="G900" i="8"/>
  <c r="I900" i="8"/>
  <c r="J900" i="8"/>
  <c r="F900" i="8"/>
  <c r="G898" i="8"/>
  <c r="I898" i="8"/>
  <c r="J898" i="8"/>
  <c r="F898" i="8"/>
  <c r="G896" i="8"/>
  <c r="I896" i="8"/>
  <c r="J896" i="8"/>
  <c r="F896" i="8"/>
  <c r="G894" i="8"/>
  <c r="I894" i="8"/>
  <c r="J894" i="8"/>
  <c r="F894" i="8"/>
  <c r="G890" i="8"/>
  <c r="I890" i="8"/>
  <c r="J890" i="8"/>
  <c r="F890" i="8"/>
  <c r="F868" i="8"/>
  <c r="G864" i="8"/>
  <c r="F864" i="8"/>
  <c r="G866" i="8"/>
  <c r="F866" i="8"/>
  <c r="G868" i="8"/>
  <c r="G870" i="8"/>
  <c r="F870" i="8"/>
  <c r="G872" i="8"/>
  <c r="F872" i="8"/>
  <c r="G874" i="8"/>
  <c r="F874" i="8"/>
  <c r="G876" i="8"/>
  <c r="F876" i="8"/>
  <c r="G878" i="8"/>
  <c r="F878" i="8"/>
  <c r="G880" i="8"/>
  <c r="F880" i="8"/>
  <c r="G882" i="8"/>
  <c r="F882" i="8"/>
  <c r="G884" i="8"/>
  <c r="F884" i="8"/>
  <c r="G886" i="8"/>
  <c r="F886" i="8"/>
  <c r="G888" i="8"/>
  <c r="F888" i="8"/>
  <c r="G861" i="8"/>
  <c r="I861" i="8"/>
  <c r="J861" i="8"/>
  <c r="F861" i="8"/>
  <c r="F858" i="8"/>
  <c r="F857" i="8" s="1"/>
  <c r="I858" i="8"/>
  <c r="J858" i="8"/>
  <c r="G858" i="8"/>
  <c r="G857" i="8" s="1"/>
  <c r="G851" i="8"/>
  <c r="F851" i="8"/>
  <c r="F832" i="8"/>
  <c r="F831" i="8" s="1"/>
  <c r="G832" i="8"/>
  <c r="G831" i="8" s="1"/>
  <c r="G830" i="8" s="1"/>
  <c r="G822" i="8"/>
  <c r="G819" i="8" s="1"/>
  <c r="I822" i="8"/>
  <c r="I819" i="8" s="1"/>
  <c r="J822" i="8"/>
  <c r="J819" i="8" s="1"/>
  <c r="F822" i="8"/>
  <c r="F819" i="8" s="1"/>
  <c r="F812" i="8"/>
  <c r="F811" i="8" s="1"/>
  <c r="G812" i="8"/>
  <c r="F807" i="8"/>
  <c r="G794" i="8"/>
  <c r="F794" i="8"/>
  <c r="F791" i="8"/>
  <c r="G791" i="8"/>
  <c r="G781" i="8"/>
  <c r="I781" i="8"/>
  <c r="J781" i="8"/>
  <c r="F781" i="8"/>
  <c r="G779" i="8"/>
  <c r="I779" i="8"/>
  <c r="J779" i="8"/>
  <c r="F779" i="8"/>
  <c r="F777" i="8"/>
  <c r="F776" i="8" s="1"/>
  <c r="G777" i="8"/>
  <c r="G776" i="8" s="1"/>
  <c r="I777" i="8"/>
  <c r="J777" i="8"/>
  <c r="G771" i="8"/>
  <c r="I771" i="8"/>
  <c r="J771" i="8"/>
  <c r="F771" i="8"/>
  <c r="G773" i="8"/>
  <c r="I773" i="8"/>
  <c r="J773" i="8"/>
  <c r="F773" i="8"/>
  <c r="J767" i="8"/>
  <c r="J766" i="8" s="1"/>
  <c r="I767" i="8"/>
  <c r="I766" i="8" s="1"/>
  <c r="G767" i="8"/>
  <c r="G766" i="8" s="1"/>
  <c r="G764" i="8"/>
  <c r="J764" i="8"/>
  <c r="F764" i="8"/>
  <c r="G760" i="8"/>
  <c r="G759" i="8" s="1"/>
  <c r="I760" i="8"/>
  <c r="I759" i="8" s="1"/>
  <c r="J760" i="8"/>
  <c r="J759" i="8" s="1"/>
  <c r="F760" i="8"/>
  <c r="F759" i="8" s="1"/>
  <c r="G757" i="8"/>
  <c r="G756" i="8" s="1"/>
  <c r="I757" i="8"/>
  <c r="I756" i="8" s="1"/>
  <c r="J757" i="8"/>
  <c r="J756" i="8" s="1"/>
  <c r="F757" i="8"/>
  <c r="F756" i="8" s="1"/>
  <c r="G746" i="8"/>
  <c r="I746" i="8"/>
  <c r="J746" i="8"/>
  <c r="F746" i="8"/>
  <c r="G748" i="8"/>
  <c r="I748" i="8"/>
  <c r="J748" i="8"/>
  <c r="F748" i="8"/>
  <c r="G737" i="8"/>
  <c r="I737" i="8"/>
  <c r="J737" i="8"/>
  <c r="F737" i="8"/>
  <c r="G739" i="8"/>
  <c r="I739" i="8"/>
  <c r="J739" i="8"/>
  <c r="F739" i="8"/>
  <c r="G743" i="8"/>
  <c r="I743" i="8"/>
  <c r="J743" i="8"/>
  <c r="G741" i="8"/>
  <c r="I741" i="8"/>
  <c r="J741" i="8"/>
  <c r="F741" i="8"/>
  <c r="F743" i="8"/>
  <c r="G734" i="8"/>
  <c r="I734" i="8"/>
  <c r="J734" i="8"/>
  <c r="F734" i="8"/>
  <c r="G732" i="8"/>
  <c r="I732" i="8"/>
  <c r="J732" i="8"/>
  <c r="J714" i="8"/>
  <c r="G714" i="8"/>
  <c r="F708" i="8"/>
  <c r="F707" i="8" s="1"/>
  <c r="I704" i="8"/>
  <c r="I701" i="8" s="1"/>
  <c r="J704" i="8"/>
  <c r="J701" i="8" s="1"/>
  <c r="F704" i="8"/>
  <c r="G704" i="8"/>
  <c r="G701" i="8" s="1"/>
  <c r="F699" i="8"/>
  <c r="F698" i="8" s="1"/>
  <c r="G699" i="8"/>
  <c r="G698" i="8" s="1"/>
  <c r="I699" i="8"/>
  <c r="I698" i="8" s="1"/>
  <c r="J699" i="8"/>
  <c r="J698" i="8" s="1"/>
  <c r="I1057" i="8" l="1"/>
  <c r="J1057" i="8"/>
  <c r="H1057" i="8"/>
  <c r="G1057" i="8"/>
  <c r="I790" i="8"/>
  <c r="J790" i="8"/>
  <c r="G936" i="8"/>
  <c r="H970" i="8"/>
  <c r="H946" i="8" s="1"/>
  <c r="F936" i="8"/>
  <c r="J745" i="8"/>
  <c r="F770" i="8"/>
  <c r="F701" i="8"/>
  <c r="I770" i="8"/>
  <c r="J770" i="8"/>
  <c r="G770" i="8"/>
  <c r="J736" i="8"/>
  <c r="J992" i="8"/>
  <c r="H992" i="8"/>
  <c r="I745" i="8"/>
  <c r="F1024" i="8"/>
  <c r="I736" i="8"/>
  <c r="F992" i="8"/>
  <c r="I992" i="8"/>
  <c r="I893" i="8"/>
  <c r="J893" i="8"/>
  <c r="J970" i="8"/>
  <c r="J946" i="8" s="1"/>
  <c r="I970" i="8"/>
  <c r="I946" i="8" s="1"/>
  <c r="G970" i="8"/>
  <c r="G946" i="8" s="1"/>
  <c r="F893" i="8"/>
  <c r="F830" i="8"/>
  <c r="F863" i="8"/>
  <c r="G863" i="8"/>
  <c r="F970" i="8"/>
  <c r="F947" i="8"/>
  <c r="G992" i="8"/>
  <c r="G982" i="8" s="1"/>
  <c r="F1057" i="8"/>
  <c r="G893" i="8"/>
  <c r="G811" i="8"/>
  <c r="F736" i="8"/>
  <c r="G736" i="8"/>
  <c r="F745" i="8"/>
  <c r="G745" i="8"/>
  <c r="G731" i="8" l="1"/>
  <c r="I731" i="8"/>
  <c r="J731" i="8"/>
  <c r="I982" i="8"/>
  <c r="H982" i="8"/>
  <c r="J982" i="8"/>
  <c r="G790" i="8"/>
  <c r="I850" i="8"/>
  <c r="G850" i="8"/>
  <c r="J850" i="8"/>
  <c r="F946" i="8"/>
  <c r="F731" i="8"/>
  <c r="F790" i="8"/>
  <c r="F982" i="8"/>
  <c r="F850" i="8"/>
  <c r="J720" i="8" l="1"/>
  <c r="I720" i="8"/>
  <c r="G720" i="8"/>
  <c r="F720" i="8"/>
  <c r="J696" i="8"/>
  <c r="I696" i="8"/>
  <c r="G696" i="8"/>
  <c r="F696" i="8"/>
  <c r="J694" i="8"/>
  <c r="I694" i="8"/>
  <c r="G694" i="8"/>
  <c r="F694" i="8"/>
  <c r="J692" i="8"/>
  <c r="I692" i="8"/>
  <c r="G692" i="8"/>
  <c r="F692" i="8"/>
  <c r="J686" i="8"/>
  <c r="I686" i="8"/>
  <c r="G686" i="8"/>
  <c r="F686" i="8"/>
  <c r="J688" i="8"/>
  <c r="I688" i="8"/>
  <c r="G688" i="8"/>
  <c r="F688" i="8"/>
  <c r="J690" i="8"/>
  <c r="I690" i="8"/>
  <c r="G690" i="8"/>
  <c r="F690" i="8"/>
  <c r="F684" i="8"/>
  <c r="J682" i="8"/>
  <c r="I682" i="8"/>
  <c r="G682" i="8"/>
  <c r="F682" i="8"/>
  <c r="J680" i="8"/>
  <c r="J679" i="8" s="1"/>
  <c r="I680" i="8"/>
  <c r="G680" i="8"/>
  <c r="F680" i="8"/>
  <c r="G679" i="8" l="1"/>
  <c r="G8" i="8" s="1"/>
  <c r="I679" i="8"/>
  <c r="F679" i="8"/>
  <c r="G660" i="8" l="1"/>
  <c r="G623" i="8"/>
  <c r="G622" i="8" s="1"/>
  <c r="I623" i="8"/>
  <c r="I622" i="8" s="1"/>
  <c r="J623" i="8"/>
  <c r="J622" i="8" s="1"/>
  <c r="F623" i="8"/>
  <c r="F622" i="8" s="1"/>
  <c r="G631" i="8"/>
  <c r="I631" i="8"/>
  <c r="J631" i="8"/>
  <c r="F631" i="8"/>
  <c r="G629" i="8"/>
  <c r="I629" i="8"/>
  <c r="J629" i="8"/>
  <c r="F629" i="8"/>
  <c r="G627" i="8"/>
  <c r="I627" i="8"/>
  <c r="J627" i="8"/>
  <c r="F627" i="8"/>
  <c r="G620" i="8"/>
  <c r="I620" i="8"/>
  <c r="J620" i="8"/>
  <c r="F620" i="8"/>
  <c r="G618" i="8"/>
  <c r="F618" i="8"/>
  <c r="F612" i="8"/>
  <c r="F585" i="8"/>
  <c r="G608" i="8"/>
  <c r="I608" i="8"/>
  <c r="J608" i="8"/>
  <c r="F608" i="8"/>
  <c r="G583" i="8"/>
  <c r="I583" i="8"/>
  <c r="J583" i="8"/>
  <c r="F583" i="8"/>
  <c r="F563" i="8"/>
  <c r="F565" i="8"/>
  <c r="F567" i="8"/>
  <c r="F569" i="8"/>
  <c r="F571" i="8"/>
  <c r="F573" i="8"/>
  <c r="F575" i="8"/>
  <c r="F577" i="8"/>
  <c r="F579" i="8"/>
  <c r="F581" i="8"/>
  <c r="G563" i="8"/>
  <c r="G565" i="8"/>
  <c r="G567" i="8"/>
  <c r="G569" i="8"/>
  <c r="G571" i="8"/>
  <c r="G573" i="8"/>
  <c r="G575" i="8"/>
  <c r="G577" i="8"/>
  <c r="G579" i="8"/>
  <c r="G581" i="8"/>
  <c r="F561" i="8"/>
  <c r="G538" i="8"/>
  <c r="G536" i="8"/>
  <c r="G534" i="8"/>
  <c r="F534" i="8"/>
  <c r="F536" i="8"/>
  <c r="F538" i="8"/>
  <c r="F540" i="8"/>
  <c r="F542" i="8"/>
  <c r="F544" i="8"/>
  <c r="F546" i="8"/>
  <c r="F548" i="8"/>
  <c r="F550" i="8"/>
  <c r="F552" i="8"/>
  <c r="F554" i="8"/>
  <c r="F556" i="8"/>
  <c r="F558" i="8"/>
  <c r="G540" i="8"/>
  <c r="G542" i="8"/>
  <c r="G544" i="8"/>
  <c r="G546" i="8"/>
  <c r="G548" i="8"/>
  <c r="G550" i="8"/>
  <c r="G552" i="8"/>
  <c r="G554" i="8"/>
  <c r="G556" i="8"/>
  <c r="G558" i="8"/>
  <c r="G530" i="8"/>
  <c r="I530" i="8"/>
  <c r="J530" i="8"/>
  <c r="F530" i="8"/>
  <c r="G560" i="8" l="1"/>
  <c r="J610" i="8"/>
  <c r="I610" i="8"/>
  <c r="F533" i="8"/>
  <c r="F560" i="8"/>
  <c r="F611" i="8"/>
  <c r="F610" i="8" s="1"/>
  <c r="G611" i="8"/>
  <c r="G533" i="8"/>
  <c r="G521" i="8"/>
  <c r="G519" i="8"/>
  <c r="G517" i="8"/>
  <c r="G515" i="8"/>
  <c r="G513" i="8"/>
  <c r="G511" i="8"/>
  <c r="G509" i="8"/>
  <c r="G507" i="8"/>
  <c r="F507" i="8"/>
  <c r="G505" i="8"/>
  <c r="G503" i="8"/>
  <c r="G501" i="8"/>
  <c r="G499" i="8"/>
  <c r="F521" i="8"/>
  <c r="F519" i="8"/>
  <c r="F517" i="8"/>
  <c r="F515" i="8"/>
  <c r="F513" i="8"/>
  <c r="F511" i="8"/>
  <c r="F509" i="8"/>
  <c r="F505" i="8"/>
  <c r="F503" i="8"/>
  <c r="F501" i="8"/>
  <c r="F499" i="8"/>
  <c r="G496" i="8"/>
  <c r="I496" i="8"/>
  <c r="J496" i="8"/>
  <c r="F496" i="8"/>
  <c r="I494" i="8"/>
  <c r="J494" i="8"/>
  <c r="I492" i="8"/>
  <c r="J492" i="8"/>
  <c r="I490" i="8"/>
  <c r="J490" i="8"/>
  <c r="I488" i="8"/>
  <c r="J488" i="8"/>
  <c r="I486" i="8"/>
  <c r="J486" i="8"/>
  <c r="I484" i="8"/>
  <c r="J484" i="8"/>
  <c r="I482" i="8"/>
  <c r="J482" i="8"/>
  <c r="I480" i="8"/>
  <c r="J480" i="8"/>
  <c r="I478" i="8"/>
  <c r="J478" i="8"/>
  <c r="I476" i="8"/>
  <c r="J476" i="8"/>
  <c r="F494" i="8"/>
  <c r="G494" i="8"/>
  <c r="F492" i="8"/>
  <c r="G492" i="8"/>
  <c r="F490" i="8"/>
  <c r="G490" i="8"/>
  <c r="F488" i="8"/>
  <c r="G488" i="8"/>
  <c r="F486" i="8"/>
  <c r="G486" i="8"/>
  <c r="F484" i="8"/>
  <c r="G484" i="8"/>
  <c r="F482" i="8"/>
  <c r="G482" i="8"/>
  <c r="F480" i="8"/>
  <c r="G480" i="8"/>
  <c r="F478" i="8"/>
  <c r="G478" i="8"/>
  <c r="F476" i="8"/>
  <c r="G476" i="8"/>
  <c r="F473" i="8"/>
  <c r="I472" i="8" l="1"/>
  <c r="J472" i="8"/>
  <c r="G472" i="8"/>
  <c r="G498" i="8"/>
  <c r="F498" i="8"/>
  <c r="F472" i="8"/>
  <c r="G470" i="8" l="1"/>
  <c r="I470" i="8"/>
  <c r="J470" i="8"/>
  <c r="F470" i="8"/>
  <c r="G465" i="8"/>
  <c r="J465" i="8"/>
  <c r="F465" i="8"/>
  <c r="G463" i="8"/>
  <c r="I463" i="8"/>
  <c r="J463" i="8"/>
  <c r="F463" i="8"/>
  <c r="G461" i="8"/>
  <c r="I461" i="8"/>
  <c r="J461" i="8"/>
  <c r="F461" i="8"/>
  <c r="G456" i="8"/>
  <c r="J456" i="8"/>
  <c r="F456" i="8"/>
  <c r="G448" i="8"/>
  <c r="G446" i="8"/>
  <c r="J446" i="8"/>
  <c r="F446" i="8"/>
  <c r="G444" i="8"/>
  <c r="F444" i="8"/>
  <c r="J352" i="8" l="1"/>
  <c r="I352" i="8"/>
  <c r="G441" i="8"/>
  <c r="F441" i="8"/>
  <c r="G439" i="8"/>
  <c r="F439" i="8"/>
  <c r="G430" i="8"/>
  <c r="F430" i="8"/>
  <c r="G432" i="8"/>
  <c r="F432" i="8"/>
  <c r="G434" i="8"/>
  <c r="F434" i="8"/>
  <c r="G436" i="8"/>
  <c r="F436" i="8"/>
  <c r="G428" i="8"/>
  <c r="F428" i="8"/>
  <c r="G404" i="8"/>
  <c r="G406" i="8"/>
  <c r="G408" i="8"/>
  <c r="G410" i="8"/>
  <c r="G412" i="8"/>
  <c r="G414" i="8"/>
  <c r="G416" i="8"/>
  <c r="G418" i="8"/>
  <c r="G420" i="8"/>
  <c r="G422" i="8"/>
  <c r="G424" i="8"/>
  <c r="G426" i="8"/>
  <c r="F404" i="8"/>
  <c r="F406" i="8"/>
  <c r="F408" i="8"/>
  <c r="F410" i="8"/>
  <c r="F412" i="8"/>
  <c r="F414" i="8"/>
  <c r="F416" i="8"/>
  <c r="F418" i="8"/>
  <c r="F420" i="8"/>
  <c r="F422" i="8"/>
  <c r="F424" i="8"/>
  <c r="F426" i="8"/>
  <c r="F401" i="8"/>
  <c r="F399" i="8"/>
  <c r="F397" i="8"/>
  <c r="F395" i="8"/>
  <c r="F393" i="8"/>
  <c r="F391" i="8"/>
  <c r="F389" i="8"/>
  <c r="F387" i="8"/>
  <c r="F385" i="8"/>
  <c r="F383" i="8"/>
  <c r="F381" i="8"/>
  <c r="F379" i="8"/>
  <c r="F378" i="8" l="1"/>
  <c r="G438" i="8"/>
  <c r="F438" i="8"/>
  <c r="G403" i="8"/>
  <c r="F403" i="8"/>
  <c r="G379" i="8" l="1"/>
  <c r="G381" i="8"/>
  <c r="G383" i="8"/>
  <c r="G385" i="8"/>
  <c r="G387" i="8"/>
  <c r="G389" i="8"/>
  <c r="G391" i="8"/>
  <c r="G393" i="8"/>
  <c r="G395" i="8"/>
  <c r="G397" i="8"/>
  <c r="G399" i="8"/>
  <c r="G401" i="8"/>
  <c r="F354" i="8"/>
  <c r="F356" i="8"/>
  <c r="F358" i="8"/>
  <c r="F360" i="8"/>
  <c r="F362" i="8"/>
  <c r="F364" i="8"/>
  <c r="F366" i="8"/>
  <c r="F368" i="8"/>
  <c r="F370" i="8"/>
  <c r="F372" i="8"/>
  <c r="F374" i="8"/>
  <c r="F376" i="8"/>
  <c r="G374" i="8"/>
  <c r="G376" i="8"/>
  <c r="G368" i="8"/>
  <c r="G370" i="8"/>
  <c r="G364" i="8"/>
  <c r="G366" i="8"/>
  <c r="G362" i="8"/>
  <c r="G354" i="8"/>
  <c r="G356" i="8"/>
  <c r="G358" i="8"/>
  <c r="G360" i="8"/>
  <c r="G372" i="8"/>
  <c r="G353" i="8" l="1"/>
  <c r="F353" i="8"/>
  <c r="G378" i="8"/>
  <c r="G352" i="8" l="1"/>
  <c r="F352" i="8"/>
  <c r="G350" i="8"/>
  <c r="I350" i="8"/>
  <c r="J350" i="8"/>
  <c r="F350" i="8"/>
  <c r="G346" i="8"/>
  <c r="I346" i="8"/>
  <c r="J346" i="8"/>
  <c r="F346" i="8"/>
  <c r="G340" i="8"/>
  <c r="F336" i="8"/>
  <c r="G336" i="8"/>
  <c r="G329" i="8"/>
  <c r="I329" i="8"/>
  <c r="J329" i="8"/>
  <c r="F329" i="8"/>
  <c r="I327" i="8"/>
  <c r="J327" i="8"/>
  <c r="F327" i="8"/>
  <c r="G325" i="8"/>
  <c r="I325" i="8"/>
  <c r="J325" i="8"/>
  <c r="F325" i="8"/>
  <c r="G323" i="8"/>
  <c r="I323" i="8"/>
  <c r="J323" i="8"/>
  <c r="F323" i="8"/>
  <c r="G321" i="8"/>
  <c r="I321" i="8"/>
  <c r="J321" i="8"/>
  <c r="F321" i="8"/>
  <c r="G319" i="8"/>
  <c r="I319" i="8"/>
  <c r="J319" i="8"/>
  <c r="F319" i="8"/>
  <c r="G317" i="8"/>
  <c r="I317" i="8"/>
  <c r="J317" i="8"/>
  <c r="J316" i="8" s="1"/>
  <c r="F317" i="8"/>
  <c r="G316" i="8" l="1"/>
  <c r="I316" i="8"/>
  <c r="J335" i="8"/>
  <c r="I335" i="8"/>
  <c r="F335" i="8"/>
  <c r="G335" i="8"/>
  <c r="F316" i="8"/>
  <c r="G314" i="8" l="1"/>
  <c r="I314" i="8"/>
  <c r="J314" i="8"/>
  <c r="F314" i="8"/>
  <c r="G312" i="8"/>
  <c r="I312" i="8"/>
  <c r="J312" i="8"/>
  <c r="F312" i="8"/>
  <c r="G310" i="8"/>
  <c r="J310" i="8"/>
  <c r="F310" i="8"/>
  <c r="G308" i="8"/>
  <c r="I308" i="8"/>
  <c r="I299" i="8" s="1"/>
  <c r="J308" i="8"/>
  <c r="F308" i="8"/>
  <c r="F305" i="8"/>
  <c r="G305" i="8"/>
  <c r="J299" i="8" l="1"/>
  <c r="G299" i="8"/>
  <c r="F299" i="8"/>
  <c r="G292" i="8"/>
  <c r="I292" i="8"/>
  <c r="J292" i="8"/>
  <c r="G294" i="8"/>
  <c r="I294" i="8"/>
  <c r="J294" i="8"/>
  <c r="F294" i="8"/>
  <c r="F292" i="8"/>
  <c r="G289" i="8"/>
  <c r="G288" i="8" s="1"/>
  <c r="I289" i="8"/>
  <c r="I288" i="8" s="1"/>
  <c r="J289" i="8"/>
  <c r="J288" i="8" s="1"/>
  <c r="F289" i="8"/>
  <c r="F288" i="8" s="1"/>
  <c r="I275" i="8"/>
  <c r="J275" i="8"/>
  <c r="I270" i="8"/>
  <c r="J270" i="8"/>
  <c r="I268" i="8"/>
  <c r="J268" i="8"/>
  <c r="I262" i="8"/>
  <c r="J262" i="8"/>
  <c r="I260" i="8"/>
  <c r="J260" i="8"/>
  <c r="I255" i="8"/>
  <c r="J255" i="8"/>
  <c r="I253" i="8"/>
  <c r="J253" i="8"/>
  <c r="G286" i="8"/>
  <c r="G285" i="8" s="1"/>
  <c r="I286" i="8"/>
  <c r="I285" i="8" s="1"/>
  <c r="J286" i="8"/>
  <c r="J285" i="8" s="1"/>
  <c r="F286" i="8"/>
  <c r="F285" i="8" s="1"/>
  <c r="G283" i="8"/>
  <c r="G282" i="8" s="1"/>
  <c r="I283" i="8"/>
  <c r="I282" i="8" s="1"/>
  <c r="J283" i="8"/>
  <c r="J282" i="8" s="1"/>
  <c r="F283" i="8"/>
  <c r="F282" i="8" s="1"/>
  <c r="G280" i="8"/>
  <c r="I280" i="8"/>
  <c r="J280" i="8"/>
  <c r="F280" i="8"/>
  <c r="G278" i="8"/>
  <c r="G277" i="8" s="1"/>
  <c r="I278" i="8"/>
  <c r="I277" i="8" s="1"/>
  <c r="J278" i="8"/>
  <c r="J277" i="8" s="1"/>
  <c r="F278" i="8"/>
  <c r="F277" i="8" s="1"/>
  <c r="G273" i="8"/>
  <c r="F273" i="8"/>
  <c r="G275" i="8"/>
  <c r="F275" i="8"/>
  <c r="G268" i="8"/>
  <c r="F268" i="8"/>
  <c r="G270" i="8"/>
  <c r="F270" i="8"/>
  <c r="G265" i="8"/>
  <c r="G264" i="8" s="1"/>
  <c r="I265" i="8"/>
  <c r="I264" i="8" s="1"/>
  <c r="J265" i="8"/>
  <c r="J264" i="8" s="1"/>
  <c r="F265" i="8"/>
  <c r="F264" i="8" s="1"/>
  <c r="F262" i="8"/>
  <c r="F260" i="8"/>
  <c r="G262" i="8"/>
  <c r="G260" i="8"/>
  <c r="F255" i="8"/>
  <c r="F253" i="8"/>
  <c r="G253" i="8"/>
  <c r="G255" i="8"/>
  <c r="G247" i="8"/>
  <c r="G246" i="8" s="1"/>
  <c r="I247" i="8"/>
  <c r="I246" i="8" s="1"/>
  <c r="J247" i="8"/>
  <c r="J246" i="8" s="1"/>
  <c r="F247" i="8"/>
  <c r="F246" i="8" s="1"/>
  <c r="G244" i="8"/>
  <c r="G243" i="8" s="1"/>
  <c r="I244" i="8"/>
  <c r="I243" i="8" s="1"/>
  <c r="J244" i="8"/>
  <c r="J243" i="8" s="1"/>
  <c r="F244" i="8"/>
  <c r="F243" i="8" s="1"/>
  <c r="F291" i="8" l="1"/>
  <c r="G291" i="8"/>
  <c r="J291" i="8"/>
  <c r="I291" i="8"/>
  <c r="F259" i="8"/>
  <c r="F252" i="8"/>
  <c r="G252" i="8"/>
  <c r="G259" i="8"/>
  <c r="F267" i="8"/>
  <c r="F272" i="8"/>
  <c r="G272" i="8"/>
  <c r="G267" i="8"/>
  <c r="J242" i="8" l="1"/>
  <c r="G242" i="8"/>
  <c r="I242" i="8"/>
  <c r="F242" i="8"/>
  <c r="F170" i="8"/>
  <c r="G168" i="8"/>
  <c r="F168" i="8"/>
  <c r="F166" i="8"/>
  <c r="G164" i="8"/>
  <c r="F164" i="8"/>
  <c r="G235" i="8"/>
  <c r="I235" i="8"/>
  <c r="J235" i="8"/>
  <c r="F235" i="8"/>
  <c r="G232" i="8"/>
  <c r="I232" i="8"/>
  <c r="J232" i="8"/>
  <c r="F232" i="8"/>
  <c r="F226" i="8"/>
  <c r="I216" i="8"/>
  <c r="J216" i="8"/>
  <c r="F216" i="8"/>
  <c r="F213" i="8"/>
  <c r="I211" i="8"/>
  <c r="J211" i="8"/>
  <c r="F211" i="8"/>
  <c r="I209" i="8"/>
  <c r="J209" i="8"/>
  <c r="F209" i="8"/>
  <c r="F205" i="8"/>
  <c r="F203" i="8"/>
  <c r="F201" i="8"/>
  <c r="F199" i="8"/>
  <c r="F197" i="8"/>
  <c r="F195" i="8"/>
  <c r="F193" i="8"/>
  <c r="F191" i="8"/>
  <c r="J187" i="8"/>
  <c r="I187" i="8"/>
  <c r="G187" i="8"/>
  <c r="F187" i="8"/>
  <c r="J203" i="8"/>
  <c r="I203" i="8"/>
  <c r="J201" i="8"/>
  <c r="I201" i="8"/>
  <c r="J199" i="8"/>
  <c r="I199" i="8"/>
  <c r="J197" i="8"/>
  <c r="I197" i="8"/>
  <c r="J195" i="8"/>
  <c r="I195" i="8"/>
  <c r="J193" i="8"/>
  <c r="I193" i="8"/>
  <c r="J191" i="8"/>
  <c r="I191" i="8"/>
  <c r="G189" i="8"/>
  <c r="I189" i="8"/>
  <c r="J189" i="8"/>
  <c r="F189" i="8"/>
  <c r="F183" i="8"/>
  <c r="G183" i="8"/>
  <c r="G181" i="8"/>
  <c r="F181" i="8"/>
  <c r="G179" i="8"/>
  <c r="F179" i="8"/>
  <c r="G170" i="8"/>
  <c r="G142" i="8"/>
  <c r="J142" i="8"/>
  <c r="I140" i="8"/>
  <c r="I139" i="8" s="1"/>
  <c r="J140" i="8"/>
  <c r="J139" i="8" s="1"/>
  <c r="G140" i="8"/>
  <c r="G139" i="8" s="1"/>
  <c r="F140" i="8"/>
  <c r="F139" i="8" s="1"/>
  <c r="I137" i="8"/>
  <c r="J137" i="8"/>
  <c r="F137" i="8"/>
  <c r="I134" i="8"/>
  <c r="J134" i="8"/>
  <c r="F134" i="8"/>
  <c r="I131" i="8"/>
  <c r="J131" i="8"/>
  <c r="F131" i="8"/>
  <c r="I126" i="8"/>
  <c r="J126" i="8"/>
  <c r="F126" i="8"/>
  <c r="I124" i="8"/>
  <c r="J124" i="8"/>
  <c r="F124" i="8"/>
  <c r="F122" i="8"/>
  <c r="F120" i="8"/>
  <c r="I118" i="8"/>
  <c r="F118" i="8"/>
  <c r="I114" i="8"/>
  <c r="J114" i="8"/>
  <c r="I112" i="8"/>
  <c r="J112" i="8"/>
  <c r="F116" i="8"/>
  <c r="F114" i="8"/>
  <c r="F112" i="8"/>
  <c r="F109" i="8"/>
  <c r="G95" i="8" l="1"/>
  <c r="G163" i="8"/>
  <c r="I130" i="8"/>
  <c r="F130" i="8"/>
  <c r="J118" i="8"/>
  <c r="J130" i="8"/>
  <c r="F163" i="8"/>
  <c r="J111" i="8"/>
  <c r="I111" i="8"/>
  <c r="I186" i="8"/>
  <c r="I178" i="8" s="1"/>
  <c r="J186" i="8"/>
  <c r="J178" i="8" s="1"/>
  <c r="G186" i="8"/>
  <c r="G178" i="8" s="1"/>
  <c r="F111" i="8"/>
  <c r="F186" i="8"/>
  <c r="F178" i="8" l="1"/>
  <c r="I105" i="8"/>
  <c r="I102" i="8" s="1"/>
  <c r="I95" i="8" s="1"/>
  <c r="J105" i="8"/>
  <c r="J102" i="8" s="1"/>
  <c r="J95" i="8" s="1"/>
  <c r="F107" i="8"/>
  <c r="F105" i="8"/>
  <c r="F103" i="8"/>
  <c r="I77" i="8"/>
  <c r="J77" i="8"/>
  <c r="F77" i="8"/>
  <c r="J75" i="8"/>
  <c r="F75" i="8"/>
  <c r="I73" i="8"/>
  <c r="J73" i="8"/>
  <c r="F73" i="8"/>
  <c r="I71" i="8"/>
  <c r="J71" i="8"/>
  <c r="F71" i="8"/>
  <c r="I69" i="8"/>
  <c r="J69" i="8"/>
  <c r="F69" i="8"/>
  <c r="I67" i="8"/>
  <c r="J67" i="8"/>
  <c r="F67" i="8"/>
  <c r="I65" i="8"/>
  <c r="J65" i="8"/>
  <c r="F65" i="8"/>
  <c r="I63" i="8"/>
  <c r="J63" i="8"/>
  <c r="F63" i="8"/>
  <c r="I61" i="8"/>
  <c r="J61" i="8"/>
  <c r="F61" i="8"/>
  <c r="F56" i="8"/>
  <c r="I54" i="8"/>
  <c r="J54" i="8"/>
  <c r="F54" i="8"/>
  <c r="I52" i="8"/>
  <c r="J52" i="8"/>
  <c r="F52" i="8"/>
  <c r="I49" i="8"/>
  <c r="J49" i="8"/>
  <c r="F49" i="8"/>
  <c r="F102" i="8" l="1"/>
  <c r="I45" i="8"/>
  <c r="J45" i="8"/>
  <c r="F45" i="8"/>
  <c r="I43" i="8"/>
  <c r="J43" i="8"/>
  <c r="F43" i="8"/>
  <c r="I40" i="8"/>
  <c r="J40" i="8"/>
  <c r="F40" i="8"/>
  <c r="I38" i="8"/>
  <c r="J38" i="8"/>
  <c r="F38" i="8"/>
  <c r="I36" i="8"/>
  <c r="J36" i="8"/>
  <c r="F36" i="8"/>
  <c r="I34" i="8"/>
  <c r="F34" i="8"/>
  <c r="I32" i="8"/>
  <c r="J32" i="8"/>
  <c r="F32" i="8"/>
  <c r="I30" i="8"/>
  <c r="J30" i="8"/>
  <c r="F30" i="8"/>
  <c r="I28" i="8"/>
  <c r="J28" i="8"/>
  <c r="F28" i="8"/>
  <c r="I26" i="8"/>
  <c r="J26" i="8"/>
  <c r="F26" i="8"/>
  <c r="I24" i="8"/>
  <c r="J24" i="8"/>
  <c r="F24" i="8"/>
  <c r="F95" i="8" l="1"/>
  <c r="I22" i="8"/>
  <c r="J22" i="8"/>
  <c r="F22" i="8"/>
  <c r="F19" i="8"/>
  <c r="I16" i="8"/>
  <c r="J16" i="8"/>
  <c r="F16" i="8"/>
  <c r="I14" i="8"/>
  <c r="J14" i="8"/>
  <c r="F14" i="8"/>
  <c r="I10" i="8" l="1"/>
  <c r="J10" i="8"/>
  <c r="I12" i="8" l="1"/>
  <c r="I9" i="8" s="1"/>
  <c r="J12" i="8"/>
  <c r="J9" i="8" s="1"/>
  <c r="F12" i="8"/>
  <c r="F10" i="8"/>
  <c r="F9" i="8" l="1"/>
  <c r="F8" i="8" l="1"/>
  <c r="I830" i="8" l="1"/>
  <c r="H1066" i="8"/>
  <c r="F4" i="8"/>
  <c r="J830" i="8" l="1"/>
  <c r="I1066" i="8"/>
  <c r="I8" i="8" s="1"/>
  <c r="J1066" i="8" l="1"/>
  <c r="J8" i="8" s="1"/>
  <c r="H116" i="7" l="1"/>
  <c r="G116" i="7"/>
  <c r="F116" i="7"/>
  <c r="E116" i="7"/>
  <c r="D116" i="7"/>
  <c r="H108" i="7"/>
  <c r="G108" i="7"/>
  <c r="F108" i="7"/>
  <c r="E108" i="7"/>
  <c r="D108" i="7"/>
  <c r="H104" i="7"/>
  <c r="G104" i="7"/>
  <c r="F104" i="7"/>
  <c r="E104" i="7"/>
  <c r="D104" i="7"/>
  <c r="H99" i="7"/>
  <c r="G99" i="7"/>
  <c r="F99" i="7"/>
  <c r="E99" i="7"/>
  <c r="D99" i="7"/>
  <c r="H95" i="7"/>
  <c r="G95" i="7"/>
  <c r="F95" i="7"/>
  <c r="E95" i="7"/>
  <c r="D95" i="7"/>
  <c r="H91" i="7"/>
  <c r="G91" i="7"/>
  <c r="F91" i="7"/>
  <c r="E91" i="7"/>
  <c r="D91" i="7"/>
  <c r="H87" i="7"/>
  <c r="G87" i="7"/>
  <c r="F87" i="7"/>
  <c r="E87" i="7"/>
  <c r="D87" i="7"/>
  <c r="H73" i="7"/>
  <c r="G73" i="7"/>
  <c r="F73" i="7"/>
  <c r="E73" i="7"/>
  <c r="D73" i="7"/>
  <c r="I63" i="7"/>
  <c r="H63" i="7"/>
  <c r="G63" i="7"/>
  <c r="F63" i="7"/>
  <c r="E63" i="7"/>
  <c r="D63" i="7"/>
  <c r="H52" i="7"/>
  <c r="G52" i="7"/>
  <c r="F52" i="7"/>
  <c r="E52" i="7"/>
  <c r="D52" i="7"/>
  <c r="H50" i="7"/>
  <c r="G50" i="7"/>
  <c r="F50" i="7"/>
  <c r="E50" i="7"/>
  <c r="D50" i="7"/>
  <c r="H43" i="7"/>
  <c r="G43" i="7"/>
  <c r="F43" i="7"/>
  <c r="E43" i="7"/>
  <c r="D43" i="7"/>
  <c r="H40" i="7"/>
  <c r="G40" i="7"/>
  <c r="F40" i="7"/>
  <c r="E40" i="7"/>
  <c r="D40" i="7"/>
  <c r="H32" i="7"/>
  <c r="G32" i="7"/>
  <c r="F32" i="7"/>
  <c r="E32" i="7"/>
  <c r="D32" i="7"/>
  <c r="H29" i="7"/>
  <c r="G29" i="7"/>
  <c r="F29" i="7"/>
  <c r="E29" i="7"/>
  <c r="D29" i="7"/>
  <c r="D129" i="7"/>
  <c r="D128" i="7" s="1"/>
  <c r="E129" i="7"/>
  <c r="E128" i="7" s="1"/>
  <c r="F129" i="7"/>
  <c r="F128" i="7" s="1"/>
  <c r="G129" i="7"/>
  <c r="G128" i="7" s="1"/>
  <c r="H129" i="7"/>
  <c r="H128" i="7" s="1"/>
  <c r="D154" i="7"/>
  <c r="D153" i="7" s="1"/>
  <c r="E154" i="7"/>
  <c r="E153" i="7" s="1"/>
  <c r="F154" i="7"/>
  <c r="F153" i="7" s="1"/>
  <c r="G154" i="7"/>
  <c r="G153" i="7" s="1"/>
  <c r="H154" i="7"/>
  <c r="H153" i="7" s="1"/>
  <c r="D160" i="7"/>
  <c r="D159" i="7" s="1"/>
  <c r="E160" i="7"/>
  <c r="E159" i="7" s="1"/>
  <c r="F160" i="7"/>
  <c r="F159" i="7" s="1"/>
  <c r="G160" i="7"/>
  <c r="G159" i="7" s="1"/>
  <c r="H160" i="7"/>
  <c r="H159" i="7" s="1"/>
  <c r="D165" i="7"/>
  <c r="D164" i="7" s="1"/>
  <c r="E165" i="7"/>
  <c r="E164" i="7" s="1"/>
  <c r="F165" i="7"/>
  <c r="F164" i="7" s="1"/>
  <c r="G165" i="7"/>
  <c r="G164" i="7" s="1"/>
  <c r="H165" i="7"/>
  <c r="H164" i="7" s="1"/>
  <c r="D169" i="7"/>
  <c r="E169" i="7"/>
  <c r="F169" i="7"/>
  <c r="G169" i="7"/>
  <c r="H169" i="7"/>
  <c r="D172" i="7"/>
  <c r="E172" i="7"/>
  <c r="F172" i="7"/>
  <c r="G172" i="7"/>
  <c r="H172" i="7"/>
  <c r="D182" i="7"/>
  <c r="E182" i="7"/>
  <c r="F182" i="7"/>
  <c r="G182" i="7"/>
  <c r="H182" i="7"/>
  <c r="D184" i="7"/>
  <c r="E184" i="7"/>
  <c r="F184" i="7"/>
  <c r="G184" i="7"/>
  <c r="H184" i="7"/>
  <c r="D187" i="7"/>
  <c r="E187" i="7"/>
  <c r="F187" i="7"/>
  <c r="G187" i="7"/>
  <c r="H187" i="7"/>
  <c r="D189" i="7"/>
  <c r="E189" i="7"/>
  <c r="F189" i="7"/>
  <c r="G189" i="7"/>
  <c r="H189" i="7"/>
  <c r="D191" i="7"/>
  <c r="E191" i="7"/>
  <c r="F191" i="7"/>
  <c r="G191" i="7"/>
  <c r="H191" i="7"/>
  <c r="D193" i="7"/>
  <c r="E193" i="7"/>
  <c r="F193" i="7"/>
  <c r="G196" i="7"/>
  <c r="G193" i="7" s="1"/>
  <c r="D204" i="7"/>
  <c r="E204" i="7"/>
  <c r="F204" i="7"/>
  <c r="G204" i="7"/>
  <c r="H204" i="7"/>
  <c r="D209" i="7"/>
  <c r="E209" i="7"/>
  <c r="F209" i="7"/>
  <c r="G209" i="7"/>
  <c r="H209" i="7"/>
  <c r="D211" i="7"/>
  <c r="E211" i="7"/>
  <c r="F211" i="7"/>
  <c r="G211" i="7"/>
  <c r="H211" i="7"/>
  <c r="D213" i="7"/>
  <c r="E213" i="7"/>
  <c r="F213" i="7"/>
  <c r="G213" i="7"/>
  <c r="H213" i="7"/>
  <c r="D218" i="7"/>
  <c r="E218" i="7"/>
  <c r="F218" i="7"/>
  <c r="G218" i="7"/>
  <c r="H218" i="7"/>
  <c r="D220" i="7"/>
  <c r="E220" i="7"/>
  <c r="F220" i="7"/>
  <c r="G220" i="7"/>
  <c r="H221" i="7"/>
  <c r="H220" i="7" s="1"/>
  <c r="D222" i="7"/>
  <c r="E222" i="7"/>
  <c r="F222" i="7"/>
  <c r="G222" i="7"/>
  <c r="H222" i="7"/>
  <c r="H103" i="7" l="1"/>
  <c r="D103" i="7"/>
  <c r="F28" i="7"/>
  <c r="G103" i="7"/>
  <c r="F103" i="7"/>
  <c r="H196" i="7"/>
  <c r="H193" i="7" s="1"/>
  <c r="G28" i="7"/>
  <c r="H28" i="7"/>
  <c r="E103" i="7"/>
  <c r="E28" i="7"/>
  <c r="D28" i="7"/>
  <c r="D27" i="7" s="1"/>
  <c r="E158" i="7"/>
  <c r="H158" i="7"/>
  <c r="D158" i="7"/>
  <c r="G158" i="7"/>
  <c r="F127" i="7"/>
  <c r="H127" i="7"/>
  <c r="D127" i="7"/>
  <c r="G127" i="7"/>
  <c r="F158" i="7"/>
  <c r="E127" i="7"/>
  <c r="H27" i="7" l="1"/>
  <c r="E27" i="7"/>
  <c r="G27" i="7"/>
  <c r="F27" i="7"/>
  <c r="E828" i="7" l="1"/>
  <c r="F828" i="7"/>
  <c r="G828" i="7"/>
  <c r="H828" i="7"/>
  <c r="D828" i="7"/>
  <c r="E821" i="7"/>
  <c r="F821" i="7"/>
  <c r="D821" i="7"/>
  <c r="H827" i="7"/>
  <c r="H824" i="7"/>
  <c r="G822" i="7"/>
  <c r="H822" i="7" s="1"/>
  <c r="E831" i="7"/>
  <c r="E830" i="7" s="1"/>
  <c r="G831" i="7"/>
  <c r="G830" i="7" s="1"/>
  <c r="H831" i="7"/>
  <c r="H830" i="7" s="1"/>
  <c r="D831" i="7"/>
  <c r="D830" i="7" s="1"/>
  <c r="F836" i="7"/>
  <c r="F831" i="7" s="1"/>
  <c r="F830" i="7" s="1"/>
  <c r="F820" i="7" l="1"/>
  <c r="D820" i="7"/>
  <c r="D819" i="7" s="1"/>
  <c r="H821" i="7"/>
  <c r="H820" i="7" s="1"/>
  <c r="H819" i="7" s="1"/>
  <c r="E820" i="7"/>
  <c r="E819" i="7" s="1"/>
  <c r="G821" i="7"/>
  <c r="G820" i="7" s="1"/>
  <c r="G819" i="7" s="1"/>
  <c r="F819" i="7"/>
  <c r="E316" i="7" l="1"/>
  <c r="E315" i="7" s="1"/>
  <c r="F316" i="7"/>
  <c r="F315" i="7" s="1"/>
  <c r="G316" i="7"/>
  <c r="G315" i="7" s="1"/>
  <c r="H316" i="7"/>
  <c r="H315" i="7" s="1"/>
  <c r="D316" i="7"/>
  <c r="D315" i="7" s="1"/>
  <c r="E322" i="7" l="1"/>
  <c r="F322" i="7"/>
  <c r="G322" i="7"/>
  <c r="H322" i="7"/>
  <c r="D322" i="7"/>
  <c r="E319" i="7"/>
  <c r="E318" i="7" s="1"/>
  <c r="E314" i="7" s="1"/>
  <c r="F319" i="7"/>
  <c r="G319" i="7"/>
  <c r="H319" i="7"/>
  <c r="D319" i="7"/>
  <c r="D318" i="7" l="1"/>
  <c r="D314" i="7" s="1"/>
  <c r="G318" i="7"/>
  <c r="G314" i="7" s="1"/>
  <c r="H318" i="7"/>
  <c r="H314" i="7" s="1"/>
  <c r="F318" i="7"/>
  <c r="F314" i="7" s="1"/>
  <c r="D885" i="7"/>
  <c r="E258" i="7" l="1"/>
  <c r="F258" i="7"/>
  <c r="G258" i="7"/>
  <c r="D258" i="7"/>
  <c r="E268" i="7"/>
  <c r="G268" i="7"/>
  <c r="H268" i="7"/>
  <c r="D268" i="7"/>
  <c r="E277" i="7"/>
  <c r="F277" i="7"/>
  <c r="G277" i="7"/>
  <c r="H277" i="7"/>
  <c r="D277" i="7"/>
  <c r="E281" i="7"/>
  <c r="F281" i="7"/>
  <c r="G281" i="7"/>
  <c r="H281" i="7"/>
  <c r="D281" i="7"/>
  <c r="E283" i="7"/>
  <c r="F283" i="7"/>
  <c r="G283" i="7"/>
  <c r="H283" i="7"/>
  <c r="D283" i="7"/>
  <c r="E285" i="7"/>
  <c r="F285" i="7"/>
  <c r="G285" i="7"/>
  <c r="H285" i="7"/>
  <c r="D285" i="7"/>
  <c r="E287" i="7"/>
  <c r="F287" i="7"/>
  <c r="G287" i="7"/>
  <c r="H287" i="7"/>
  <c r="D287" i="7"/>
  <c r="E289" i="7"/>
  <c r="F289" i="7"/>
  <c r="G289" i="7"/>
  <c r="H289" i="7"/>
  <c r="D289" i="7"/>
  <c r="E255" i="7"/>
  <c r="F255" i="7"/>
  <c r="G255" i="7"/>
  <c r="H255" i="7"/>
  <c r="D255" i="7"/>
  <c r="E253" i="7"/>
  <c r="F253" i="7"/>
  <c r="G253" i="7"/>
  <c r="H253" i="7"/>
  <c r="D253" i="7"/>
  <c r="E242" i="7"/>
  <c r="F242" i="7"/>
  <c r="G242" i="7"/>
  <c r="H242" i="7"/>
  <c r="D242" i="7"/>
  <c r="F275" i="7"/>
  <c r="F268" i="7" s="1"/>
  <c r="H264" i="7"/>
  <c r="H258" i="7" s="1"/>
  <c r="E241" i="7" l="1"/>
  <c r="F241" i="7"/>
  <c r="D241" i="7"/>
  <c r="G241" i="7"/>
  <c r="H241" i="7"/>
  <c r="E224" i="7" l="1"/>
  <c r="F224" i="7"/>
  <c r="G224" i="7"/>
  <c r="H224" i="7"/>
  <c r="D224" i="7"/>
  <c r="E238" i="7"/>
  <c r="F238" i="7"/>
  <c r="D238" i="7"/>
  <c r="E231" i="7"/>
  <c r="D231" i="7"/>
  <c r="E226" i="7"/>
  <c r="F226" i="7"/>
  <c r="G226" i="7"/>
  <c r="H226" i="7"/>
  <c r="D226" i="7"/>
  <c r="G240" i="7"/>
  <c r="H240" i="7" s="1"/>
  <c r="H238" i="7" s="1"/>
  <c r="H236" i="7"/>
  <c r="F234" i="7"/>
  <c r="G234" i="7" s="1"/>
  <c r="H234" i="7" s="1"/>
  <c r="G232" i="7"/>
  <c r="A228" i="7"/>
  <c r="A229" i="7" s="1"/>
  <c r="A230" i="7" s="1"/>
  <c r="D168" i="7" l="1"/>
  <c r="D167" i="7" s="1"/>
  <c r="E168" i="7"/>
  <c r="E167" i="7" s="1"/>
  <c r="H231" i="7"/>
  <c r="H168" i="7" s="1"/>
  <c r="H167" i="7" s="1"/>
  <c r="G231" i="7"/>
  <c r="G238" i="7"/>
  <c r="F231" i="7"/>
  <c r="F168" i="7" s="1"/>
  <c r="F167" i="7" s="1"/>
  <c r="G168" i="7" l="1"/>
  <c r="G167" i="7" s="1"/>
  <c r="E885" i="7"/>
  <c r="E884" i="7" s="1"/>
  <c r="E883" i="7" s="1"/>
  <c r="F885" i="7"/>
  <c r="F884" i="7" s="1"/>
  <c r="F883" i="7" s="1"/>
  <c r="G885" i="7"/>
  <c r="G884" i="7" s="1"/>
  <c r="G883" i="7" s="1"/>
  <c r="H885" i="7"/>
  <c r="H884" i="7" s="1"/>
  <c r="H883" i="7" s="1"/>
  <c r="D884" i="7"/>
  <c r="D883" i="7" s="1"/>
  <c r="H975" i="7" l="1"/>
  <c r="H974" i="7" s="1"/>
  <c r="G975" i="7"/>
  <c r="G974" i="7" s="1"/>
  <c r="F975" i="7"/>
  <c r="F974" i="7" s="1"/>
  <c r="E975" i="7"/>
  <c r="E974" i="7" s="1"/>
  <c r="D975" i="7"/>
  <c r="D974" i="7" s="1"/>
  <c r="H972" i="7"/>
  <c r="H971" i="7" s="1"/>
  <c r="G972" i="7"/>
  <c r="G971" i="7" s="1"/>
  <c r="F972" i="7"/>
  <c r="F971" i="7" s="1"/>
  <c r="E972" i="7"/>
  <c r="E971" i="7" s="1"/>
  <c r="D972" i="7"/>
  <c r="D971" i="7" s="1"/>
  <c r="H968" i="7"/>
  <c r="H967" i="7" s="1"/>
  <c r="G968" i="7"/>
  <c r="G967" i="7" s="1"/>
  <c r="F968" i="7"/>
  <c r="F967" i="7" s="1"/>
  <c r="E968" i="7"/>
  <c r="E967" i="7" s="1"/>
  <c r="D968" i="7"/>
  <c r="D967" i="7" s="1"/>
  <c r="H964" i="7"/>
  <c r="H963" i="7" s="1"/>
  <c r="G964" i="7"/>
  <c r="G963" i="7" s="1"/>
  <c r="F964" i="7"/>
  <c r="F963" i="7" s="1"/>
  <c r="E964" i="7"/>
  <c r="E963" i="7" s="1"/>
  <c r="D964" i="7"/>
  <c r="D963" i="7" s="1"/>
  <c r="H960" i="7"/>
  <c r="H959" i="7" s="1"/>
  <c r="G960" i="7"/>
  <c r="G959" i="7" s="1"/>
  <c r="F960" i="7"/>
  <c r="F959" i="7" s="1"/>
  <c r="E960" i="7"/>
  <c r="E959" i="7" s="1"/>
  <c r="D960" i="7"/>
  <c r="D959" i="7" s="1"/>
  <c r="H957" i="7"/>
  <c r="H956" i="7" s="1"/>
  <c r="G957" i="7"/>
  <c r="G956" i="7" s="1"/>
  <c r="F957" i="7"/>
  <c r="F956" i="7" s="1"/>
  <c r="E957" i="7"/>
  <c r="E956" i="7" s="1"/>
  <c r="D957" i="7"/>
  <c r="D956" i="7" s="1"/>
  <c r="E953" i="7"/>
  <c r="E952" i="7" s="1"/>
  <c r="D953" i="7"/>
  <c r="D952" i="7" s="1"/>
  <c r="H952" i="7"/>
  <c r="G952" i="7"/>
  <c r="F952" i="7"/>
  <c r="H950" i="7"/>
  <c r="H949" i="7" s="1"/>
  <c r="G950" i="7"/>
  <c r="G949" i="7" s="1"/>
  <c r="F950" i="7"/>
  <c r="F949" i="7" s="1"/>
  <c r="E950" i="7"/>
  <c r="E949" i="7" s="1"/>
  <c r="D950" i="7"/>
  <c r="D949" i="7" s="1"/>
  <c r="H946" i="7"/>
  <c r="H945" i="7" s="1"/>
  <c r="G946" i="7"/>
  <c r="F946" i="7"/>
  <c r="F945" i="7" s="1"/>
  <c r="E946" i="7"/>
  <c r="E945" i="7" s="1"/>
  <c r="D946" i="7"/>
  <c r="D945" i="7" s="1"/>
  <c r="G945" i="7"/>
  <c r="H943" i="7"/>
  <c r="H942" i="7" s="1"/>
  <c r="G943" i="7"/>
  <c r="F943" i="7"/>
  <c r="F942" i="7" s="1"/>
  <c r="E943" i="7"/>
  <c r="E942" i="7" s="1"/>
  <c r="D943" i="7"/>
  <c r="D942" i="7" s="1"/>
  <c r="G942" i="7"/>
  <c r="H939" i="7"/>
  <c r="H938" i="7" s="1"/>
  <c r="G939" i="7"/>
  <c r="G938" i="7" s="1"/>
  <c r="F939" i="7"/>
  <c r="F938" i="7" s="1"/>
  <c r="E939" i="7"/>
  <c r="E938" i="7" s="1"/>
  <c r="D939" i="7"/>
  <c r="D938" i="7" s="1"/>
  <c r="H936" i="7"/>
  <c r="H935" i="7" s="1"/>
  <c r="G936" i="7"/>
  <c r="G935" i="7" s="1"/>
  <c r="F936" i="7"/>
  <c r="F935" i="7" s="1"/>
  <c r="E936" i="7"/>
  <c r="E935" i="7" s="1"/>
  <c r="D936" i="7"/>
  <c r="D935" i="7" s="1"/>
  <c r="H931" i="7"/>
  <c r="H930" i="7" s="1"/>
  <c r="H929" i="7" s="1"/>
  <c r="G931" i="7"/>
  <c r="F931" i="7"/>
  <c r="F930" i="7" s="1"/>
  <c r="F929" i="7" s="1"/>
  <c r="E931" i="7"/>
  <c r="E930" i="7" s="1"/>
  <c r="E929" i="7" s="1"/>
  <c r="D931" i="7"/>
  <c r="D930" i="7" s="1"/>
  <c r="D929" i="7" s="1"/>
  <c r="G930" i="7"/>
  <c r="G929" i="7" s="1"/>
  <c r="H927" i="7"/>
  <c r="H926" i="7" s="1"/>
  <c r="G927" i="7"/>
  <c r="G926" i="7" s="1"/>
  <c r="F927" i="7"/>
  <c r="F926" i="7" s="1"/>
  <c r="E927" i="7"/>
  <c r="E926" i="7" s="1"/>
  <c r="D927" i="7"/>
  <c r="D926" i="7" s="1"/>
  <c r="H924" i="7"/>
  <c r="H923" i="7" s="1"/>
  <c r="G924" i="7"/>
  <c r="G923" i="7" s="1"/>
  <c r="F924" i="7"/>
  <c r="F923" i="7" s="1"/>
  <c r="E924" i="7"/>
  <c r="E923" i="7" s="1"/>
  <c r="D924" i="7"/>
  <c r="D923" i="7" s="1"/>
  <c r="H919" i="7"/>
  <c r="H918" i="7" s="1"/>
  <c r="H917" i="7" s="1"/>
  <c r="G919" i="7"/>
  <c r="F919" i="7"/>
  <c r="F918" i="7" s="1"/>
  <c r="F917" i="7" s="1"/>
  <c r="E919" i="7"/>
  <c r="E918" i="7" s="1"/>
  <c r="E917" i="7" s="1"/>
  <c r="D919" i="7"/>
  <c r="D918" i="7" s="1"/>
  <c r="D917" i="7" s="1"/>
  <c r="G918" i="7"/>
  <c r="G917" i="7" s="1"/>
  <c r="H915" i="7"/>
  <c r="H914" i="7" s="1"/>
  <c r="G915" i="7"/>
  <c r="G914" i="7" s="1"/>
  <c r="F915" i="7"/>
  <c r="F914" i="7" s="1"/>
  <c r="E915" i="7"/>
  <c r="E914" i="7" s="1"/>
  <c r="D915" i="7"/>
  <c r="D914" i="7" s="1"/>
  <c r="H912" i="7"/>
  <c r="H911" i="7" s="1"/>
  <c r="G912" i="7"/>
  <c r="G911" i="7" s="1"/>
  <c r="F912" i="7"/>
  <c r="F911" i="7" s="1"/>
  <c r="E912" i="7"/>
  <c r="E911" i="7" s="1"/>
  <c r="D912" i="7"/>
  <c r="D911" i="7" s="1"/>
  <c r="H907" i="7"/>
  <c r="G907" i="7"/>
  <c r="F907" i="7"/>
  <c r="E907" i="7"/>
  <c r="D907" i="7"/>
  <c r="F906" i="7"/>
  <c r="F905" i="7" s="1"/>
  <c r="F904" i="7" s="1"/>
  <c r="F902" i="7" s="1"/>
  <c r="H905" i="7"/>
  <c r="H904" i="7" s="1"/>
  <c r="H902" i="7" s="1"/>
  <c r="G905" i="7"/>
  <c r="G904" i="7" s="1"/>
  <c r="G902" i="7" s="1"/>
  <c r="E905" i="7"/>
  <c r="E904" i="7" s="1"/>
  <c r="E902" i="7" s="1"/>
  <c r="D905" i="7"/>
  <c r="D904" i="7" s="1"/>
  <c r="D902" i="7" s="1"/>
  <c r="H900" i="7"/>
  <c r="H899" i="7" s="1"/>
  <c r="G900" i="7"/>
  <c r="G899" i="7" s="1"/>
  <c r="F900" i="7"/>
  <c r="F899" i="7" s="1"/>
  <c r="E900" i="7"/>
  <c r="E899" i="7" s="1"/>
  <c r="D900" i="7"/>
  <c r="D899" i="7" s="1"/>
  <c r="H897" i="7"/>
  <c r="H896" i="7" s="1"/>
  <c r="G897" i="7"/>
  <c r="G896" i="7" s="1"/>
  <c r="F897" i="7"/>
  <c r="F896" i="7" s="1"/>
  <c r="E897" i="7"/>
  <c r="E896" i="7" s="1"/>
  <c r="D897" i="7"/>
  <c r="D896" i="7" s="1"/>
  <c r="H893" i="7"/>
  <c r="H892" i="7" s="1"/>
  <c r="G893" i="7"/>
  <c r="G892" i="7" s="1"/>
  <c r="F893" i="7"/>
  <c r="F892" i="7" s="1"/>
  <c r="E893" i="7"/>
  <c r="E892" i="7" s="1"/>
  <c r="D893" i="7"/>
  <c r="D892" i="7" s="1"/>
  <c r="H889" i="7"/>
  <c r="H888" i="7" s="1"/>
  <c r="G889" i="7"/>
  <c r="F889" i="7"/>
  <c r="F888" i="7" s="1"/>
  <c r="E889" i="7"/>
  <c r="E888" i="7" s="1"/>
  <c r="D889" i="7"/>
  <c r="D888" i="7" s="1"/>
  <c r="G888" i="7"/>
  <c r="H879" i="7"/>
  <c r="G879" i="7"/>
  <c r="F879" i="7"/>
  <c r="F878" i="7" s="1"/>
  <c r="E879" i="7"/>
  <c r="E878" i="7" s="1"/>
  <c r="D879" i="7"/>
  <c r="D878" i="7" s="1"/>
  <c r="G878" i="7"/>
  <c r="G875" i="7"/>
  <c r="G874" i="7" s="1"/>
  <c r="F875" i="7"/>
  <c r="F874" i="7" s="1"/>
  <c r="E875" i="7"/>
  <c r="E874" i="7" s="1"/>
  <c r="D875" i="7"/>
  <c r="D874" i="7" s="1"/>
  <c r="H874" i="7"/>
  <c r="H873" i="7" s="1"/>
  <c r="H866" i="7"/>
  <c r="H865" i="7" s="1"/>
  <c r="G866" i="7"/>
  <c r="G865" i="7" s="1"/>
  <c r="F866" i="7"/>
  <c r="F865" i="7" s="1"/>
  <c r="E866" i="7"/>
  <c r="E865" i="7" s="1"/>
  <c r="D866" i="7"/>
  <c r="D865" i="7" s="1"/>
  <c r="H862" i="7"/>
  <c r="H861" i="7" s="1"/>
  <c r="H860" i="7" s="1"/>
  <c r="G862" i="7"/>
  <c r="G861" i="7" s="1"/>
  <c r="G860" i="7" s="1"/>
  <c r="F862" i="7"/>
  <c r="F861" i="7" s="1"/>
  <c r="F860" i="7" s="1"/>
  <c r="E861" i="7"/>
  <c r="E860" i="7" s="1"/>
  <c r="D861" i="7"/>
  <c r="D860" i="7" s="1"/>
  <c r="H852" i="7"/>
  <c r="H851" i="7" s="1"/>
  <c r="H850" i="7" s="1"/>
  <c r="G852" i="7"/>
  <c r="G851" i="7" s="1"/>
  <c r="G850" i="7" s="1"/>
  <c r="F852" i="7"/>
  <c r="F851" i="7" s="1"/>
  <c r="F850" i="7" s="1"/>
  <c r="E852" i="7"/>
  <c r="E851" i="7" s="1"/>
  <c r="E850" i="7" s="1"/>
  <c r="D852" i="7"/>
  <c r="D851" i="7" s="1"/>
  <c r="D850" i="7" s="1"/>
  <c r="H846" i="7"/>
  <c r="H845" i="7" s="1"/>
  <c r="G846" i="7"/>
  <c r="F846" i="7"/>
  <c r="F845" i="7" s="1"/>
  <c r="E846" i="7"/>
  <c r="E845" i="7" s="1"/>
  <c r="D846" i="7"/>
  <c r="D845" i="7" s="1"/>
  <c r="G845" i="7"/>
  <c r="H840" i="7"/>
  <c r="H839" i="7" s="1"/>
  <c r="G840" i="7"/>
  <c r="G839" i="7" s="1"/>
  <c r="F840" i="7"/>
  <c r="F839" i="7" s="1"/>
  <c r="E840" i="7"/>
  <c r="E839" i="7" s="1"/>
  <c r="D840" i="7"/>
  <c r="D839" i="7" s="1"/>
  <c r="H807" i="7"/>
  <c r="H806" i="7" s="1"/>
  <c r="G807" i="7"/>
  <c r="G806" i="7" s="1"/>
  <c r="F807" i="7"/>
  <c r="F806" i="7" s="1"/>
  <c r="E807" i="7"/>
  <c r="E806" i="7" s="1"/>
  <c r="D807" i="7"/>
  <c r="D806" i="7" s="1"/>
  <c r="H804" i="7"/>
  <c r="H803" i="7" s="1"/>
  <c r="G804" i="7"/>
  <c r="G803" i="7" s="1"/>
  <c r="F804" i="7"/>
  <c r="F803" i="7" s="1"/>
  <c r="E804" i="7"/>
  <c r="E803" i="7" s="1"/>
  <c r="D804" i="7"/>
  <c r="D803" i="7" s="1"/>
  <c r="H799" i="7"/>
  <c r="G799" i="7"/>
  <c r="F799" i="7"/>
  <c r="E799" i="7"/>
  <c r="D799" i="7"/>
  <c r="E797" i="7"/>
  <c r="E796" i="7" s="1"/>
  <c r="D797" i="7"/>
  <c r="D796" i="7" s="1"/>
  <c r="E792" i="7"/>
  <c r="E791" i="7" s="1"/>
  <c r="D792" i="7"/>
  <c r="D791" i="7" s="1"/>
  <c r="H791" i="7"/>
  <c r="H790" i="7" s="1"/>
  <c r="G791" i="7"/>
  <c r="G790" i="7" s="1"/>
  <c r="F791" i="7"/>
  <c r="F790" i="7" s="1"/>
  <c r="D787" i="7"/>
  <c r="D786" i="7" s="1"/>
  <c r="D785" i="7" s="1"/>
  <c r="H786" i="7"/>
  <c r="H785" i="7" s="1"/>
  <c r="G786" i="7"/>
  <c r="G785" i="7" s="1"/>
  <c r="F786" i="7"/>
  <c r="F785" i="7" s="1"/>
  <c r="E786" i="7"/>
  <c r="E785" i="7" s="1"/>
  <c r="D784" i="7"/>
  <c r="H783" i="7"/>
  <c r="H782" i="7" s="1"/>
  <c r="H781" i="7" s="1"/>
  <c r="G783" i="7"/>
  <c r="G782" i="7" s="1"/>
  <c r="G781" i="7" s="1"/>
  <c r="F783" i="7"/>
  <c r="F782" i="7" s="1"/>
  <c r="F781" i="7" s="1"/>
  <c r="D783" i="7"/>
  <c r="D782" i="7" s="1"/>
  <c r="D781" i="7" s="1"/>
  <c r="E782" i="7"/>
  <c r="E781" i="7" s="1"/>
  <c r="H776" i="7"/>
  <c r="G776" i="7"/>
  <c r="F776" i="7"/>
  <c r="E776" i="7"/>
  <c r="D776" i="7"/>
  <c r="H774" i="7"/>
  <c r="H773" i="7" s="1"/>
  <c r="G774" i="7"/>
  <c r="G773" i="7" s="1"/>
  <c r="F774" i="7"/>
  <c r="F773" i="7" s="1"/>
  <c r="E774" i="7"/>
  <c r="E773" i="7" s="1"/>
  <c r="D774" i="7"/>
  <c r="D773" i="7" s="1"/>
  <c r="H770" i="7"/>
  <c r="G770" i="7"/>
  <c r="F770" i="7"/>
  <c r="E770" i="7"/>
  <c r="D770" i="7"/>
  <c r="H763" i="7"/>
  <c r="G763" i="7"/>
  <c r="F763" i="7"/>
  <c r="E763" i="7"/>
  <c r="D763" i="7"/>
  <c r="H761" i="7"/>
  <c r="G761" i="7"/>
  <c r="F761" i="7"/>
  <c r="E761" i="7"/>
  <c r="D761" i="7"/>
  <c r="H755" i="7"/>
  <c r="G755" i="7"/>
  <c r="F755" i="7"/>
  <c r="E755" i="7"/>
  <c r="D755" i="7"/>
  <c r="H751" i="7"/>
  <c r="G751" i="7"/>
  <c r="F751" i="7"/>
  <c r="E751" i="7"/>
  <c r="D751" i="7"/>
  <c r="H749" i="7"/>
  <c r="G749" i="7"/>
  <c r="F749" i="7"/>
  <c r="E749" i="7"/>
  <c r="D749" i="7"/>
  <c r="H747" i="7"/>
  <c r="G747" i="7"/>
  <c r="F747" i="7"/>
  <c r="E747" i="7"/>
  <c r="D747" i="7"/>
  <c r="H744" i="7"/>
  <c r="G744" i="7"/>
  <c r="F744" i="7"/>
  <c r="E744" i="7"/>
  <c r="D744" i="7"/>
  <c r="H738" i="7"/>
  <c r="G738" i="7"/>
  <c r="F738" i="7"/>
  <c r="E738" i="7"/>
  <c r="D738" i="7"/>
  <c r="H734" i="7"/>
  <c r="G734" i="7"/>
  <c r="F734" i="7"/>
  <c r="E734" i="7"/>
  <c r="D734" i="7"/>
  <c r="H731" i="7"/>
  <c r="G731" i="7"/>
  <c r="F731" i="7"/>
  <c r="E731" i="7"/>
  <c r="D731" i="7"/>
  <c r="H724" i="7"/>
  <c r="G724" i="7"/>
  <c r="F724" i="7"/>
  <c r="E724" i="7"/>
  <c r="D724" i="7"/>
  <c r="H717" i="7"/>
  <c r="H716" i="7" s="1"/>
  <c r="G717" i="7"/>
  <c r="G716" i="7" s="1"/>
  <c r="F717" i="7"/>
  <c r="F716" i="7" s="1"/>
  <c r="E717" i="7"/>
  <c r="E716" i="7" s="1"/>
  <c r="D717" i="7"/>
  <c r="D716" i="7" s="1"/>
  <c r="H715" i="7"/>
  <c r="G715" i="7"/>
  <c r="F715" i="7"/>
  <c r="H714" i="7"/>
  <c r="G714" i="7"/>
  <c r="F714" i="7"/>
  <c r="H713" i="7"/>
  <c r="G713" i="7"/>
  <c r="F713" i="7"/>
  <c r="H712" i="7"/>
  <c r="G712" i="7"/>
  <c r="F712" i="7"/>
  <c r="E711" i="7"/>
  <c r="D711" i="7"/>
  <c r="H710" i="7"/>
  <c r="H709" i="7" s="1"/>
  <c r="G710" i="7"/>
  <c r="G709" i="7" s="1"/>
  <c r="F710" i="7"/>
  <c r="F709" i="7" s="1"/>
  <c r="E709" i="7"/>
  <c r="D709" i="7"/>
  <c r="H708" i="7"/>
  <c r="H707" i="7" s="1"/>
  <c r="G708" i="7"/>
  <c r="G707" i="7" s="1"/>
  <c r="F708" i="7"/>
  <c r="F707" i="7" s="1"/>
  <c r="E707" i="7"/>
  <c r="D707" i="7"/>
  <c r="F704" i="7"/>
  <c r="G704" i="7" s="1"/>
  <c r="H704" i="7" s="1"/>
  <c r="F703" i="7"/>
  <c r="G703" i="7" s="1"/>
  <c r="H703" i="7" s="1"/>
  <c r="F702" i="7"/>
  <c r="G702" i="7" s="1"/>
  <c r="H702" i="7" s="1"/>
  <c r="F701" i="7"/>
  <c r="G701" i="7" s="1"/>
  <c r="H701" i="7" s="1"/>
  <c r="F699" i="7"/>
  <c r="G699" i="7" s="1"/>
  <c r="E698" i="7"/>
  <c r="D698" i="7"/>
  <c r="H696" i="7"/>
  <c r="G696" i="7"/>
  <c r="F696" i="7"/>
  <c r="E696" i="7"/>
  <c r="D696" i="7"/>
  <c r="H694" i="7"/>
  <c r="G694" i="7"/>
  <c r="F694" i="7"/>
  <c r="E694" i="7"/>
  <c r="D694" i="7"/>
  <c r="H692" i="7"/>
  <c r="G692" i="7"/>
  <c r="F692" i="7"/>
  <c r="E692" i="7"/>
  <c r="D692" i="7"/>
  <c r="G690" i="7"/>
  <c r="H690" i="7" s="1"/>
  <c r="H688" i="7" s="1"/>
  <c r="F688" i="7"/>
  <c r="E688" i="7"/>
  <c r="D688" i="7"/>
  <c r="G687" i="7"/>
  <c r="H687" i="7" s="1"/>
  <c r="G686" i="7"/>
  <c r="H686" i="7" s="1"/>
  <c r="F685" i="7"/>
  <c r="E685" i="7"/>
  <c r="D685" i="7"/>
  <c r="H676" i="7"/>
  <c r="G676" i="7"/>
  <c r="F676" i="7"/>
  <c r="E676" i="7"/>
  <c r="D676" i="7"/>
  <c r="G672" i="7"/>
  <c r="G671" i="7" s="1"/>
  <c r="F671" i="7"/>
  <c r="E671" i="7"/>
  <c r="D671" i="7"/>
  <c r="H670" i="7"/>
  <c r="G670" i="7"/>
  <c r="F670" i="7"/>
  <c r="F668" i="7"/>
  <c r="F667" i="7"/>
  <c r="G667" i="7" s="1"/>
  <c r="H667" i="7" s="1"/>
  <c r="E665" i="7"/>
  <c r="D665" i="7"/>
  <c r="H660" i="7"/>
  <c r="G660" i="7"/>
  <c r="F660" i="7"/>
  <c r="E660" i="7"/>
  <c r="D660" i="7"/>
  <c r="H658" i="7"/>
  <c r="G658" i="7"/>
  <c r="F658" i="7"/>
  <c r="E658" i="7"/>
  <c r="D658" i="7"/>
  <c r="H656" i="7"/>
  <c r="G656" i="7"/>
  <c r="F656" i="7"/>
  <c r="E656" i="7"/>
  <c r="D656" i="7"/>
  <c r="H653" i="7"/>
  <c r="G653" i="7"/>
  <c r="F653" i="7"/>
  <c r="E653" i="7"/>
  <c r="D653" i="7"/>
  <c r="H650" i="7"/>
  <c r="G650" i="7"/>
  <c r="F650" i="7"/>
  <c r="E650" i="7"/>
  <c r="D650" i="7"/>
  <c r="H647" i="7"/>
  <c r="G647" i="7"/>
  <c r="F647" i="7"/>
  <c r="E647" i="7"/>
  <c r="D647" i="7"/>
  <c r="G646" i="7"/>
  <c r="F646" i="7"/>
  <c r="H643" i="7"/>
  <c r="F639" i="7"/>
  <c r="G639" i="7" s="1"/>
  <c r="E638" i="7"/>
  <c r="D638" i="7"/>
  <c r="H636" i="7"/>
  <c r="G636" i="7"/>
  <c r="F636" i="7"/>
  <c r="E636" i="7"/>
  <c r="D636" i="7"/>
  <c r="H631" i="7"/>
  <c r="G631" i="7"/>
  <c r="F631" i="7"/>
  <c r="E631" i="7"/>
  <c r="D631" i="7"/>
  <c r="H629" i="7"/>
  <c r="G629" i="7"/>
  <c r="F629" i="7"/>
  <c r="E629" i="7"/>
  <c r="D629" i="7"/>
  <c r="H613" i="7"/>
  <c r="G613" i="7"/>
  <c r="F613" i="7"/>
  <c r="E613" i="7"/>
  <c r="D613" i="7"/>
  <c r="H609" i="7"/>
  <c r="G609" i="7"/>
  <c r="F609" i="7"/>
  <c r="E609" i="7"/>
  <c r="D609" i="7"/>
  <c r="H592" i="7"/>
  <c r="G592" i="7"/>
  <c r="F592" i="7"/>
  <c r="E592" i="7"/>
  <c r="D592" i="7"/>
  <c r="H583" i="7"/>
  <c r="G583" i="7"/>
  <c r="F583" i="7"/>
  <c r="E583" i="7"/>
  <c r="D583" i="7"/>
  <c r="H579" i="7"/>
  <c r="G579" i="7"/>
  <c r="F579" i="7"/>
  <c r="E579" i="7"/>
  <c r="D579" i="7"/>
  <c r="H574" i="7"/>
  <c r="G574" i="7"/>
  <c r="F574" i="7"/>
  <c r="E574" i="7"/>
  <c r="D574" i="7"/>
  <c r="G572" i="7"/>
  <c r="G571" i="7"/>
  <c r="H571" i="7" s="1"/>
  <c r="F561" i="7"/>
  <c r="E561" i="7"/>
  <c r="D561" i="7"/>
  <c r="G560" i="7"/>
  <c r="H560" i="7" s="1"/>
  <c r="H559" i="7" s="1"/>
  <c r="F559" i="7"/>
  <c r="E559" i="7"/>
  <c r="D559" i="7"/>
  <c r="H557" i="7"/>
  <c r="G557" i="7"/>
  <c r="F557" i="7"/>
  <c r="E557" i="7"/>
  <c r="D557" i="7"/>
  <c r="H541" i="7"/>
  <c r="G541" i="7"/>
  <c r="F541" i="7"/>
  <c r="E541" i="7"/>
  <c r="D541" i="7"/>
  <c r="H524" i="7"/>
  <c r="G524" i="7"/>
  <c r="F524" i="7"/>
  <c r="E524" i="7"/>
  <c r="D524" i="7"/>
  <c r="H509" i="7"/>
  <c r="G509" i="7"/>
  <c r="F509" i="7"/>
  <c r="E509" i="7"/>
  <c r="D509" i="7"/>
  <c r="H496" i="7"/>
  <c r="G496" i="7"/>
  <c r="F496" i="7"/>
  <c r="E496" i="7"/>
  <c r="D496" i="7"/>
  <c r="H459" i="7"/>
  <c r="G459" i="7"/>
  <c r="F459" i="7"/>
  <c r="E459" i="7"/>
  <c r="D459" i="7"/>
  <c r="H453" i="7"/>
  <c r="G453" i="7"/>
  <c r="F453" i="7"/>
  <c r="E453" i="7"/>
  <c r="D453" i="7"/>
  <c r="H445" i="7"/>
  <c r="G445" i="7"/>
  <c r="F445" i="7"/>
  <c r="E445" i="7"/>
  <c r="D445" i="7"/>
  <c r="H438" i="7"/>
  <c r="G438" i="7"/>
  <c r="F438" i="7"/>
  <c r="E438" i="7"/>
  <c r="D438" i="7"/>
  <c r="H422" i="7"/>
  <c r="G422" i="7"/>
  <c r="F422" i="7"/>
  <c r="E422" i="7"/>
  <c r="D422" i="7"/>
  <c r="H411" i="7"/>
  <c r="H404" i="7" s="1"/>
  <c r="G411" i="7"/>
  <c r="G404" i="7" s="1"/>
  <c r="F411" i="7"/>
  <c r="F404" i="7" s="1"/>
  <c r="E404" i="7"/>
  <c r="D404" i="7"/>
  <c r="H398" i="7"/>
  <c r="G398" i="7"/>
  <c r="F398" i="7"/>
  <c r="E398" i="7"/>
  <c r="D398" i="7"/>
  <c r="H371" i="7"/>
  <c r="G371" i="7"/>
  <c r="F371" i="7"/>
  <c r="E371" i="7"/>
  <c r="D371" i="7"/>
  <c r="H326" i="7"/>
  <c r="G326" i="7"/>
  <c r="F326" i="7"/>
  <c r="E326" i="7"/>
  <c r="D326" i="7"/>
  <c r="H311" i="7"/>
  <c r="H310" i="7" s="1"/>
  <c r="G311" i="7"/>
  <c r="G310" i="7" s="1"/>
  <c r="F311" i="7"/>
  <c r="F310" i="7" s="1"/>
  <c r="E311" i="7"/>
  <c r="E310" i="7" s="1"/>
  <c r="D311" i="7"/>
  <c r="D310" i="7" s="1"/>
  <c r="H309" i="7"/>
  <c r="H307" i="7" s="1"/>
  <c r="G309" i="7"/>
  <c r="G307" i="7" s="1"/>
  <c r="F309" i="7"/>
  <c r="F307" i="7" s="1"/>
  <c r="E307" i="7"/>
  <c r="D307" i="7"/>
  <c r="H303" i="7"/>
  <c r="G303" i="7"/>
  <c r="F303" i="7"/>
  <c r="E303" i="7"/>
  <c r="E302" i="7" s="1"/>
  <c r="E301" i="7" s="1"/>
  <c r="D303" i="7"/>
  <c r="H24" i="7"/>
  <c r="H23" i="7" s="1"/>
  <c r="G24" i="7"/>
  <c r="G23" i="7" s="1"/>
  <c r="F24" i="7"/>
  <c r="F23" i="7" s="1"/>
  <c r="E24" i="7"/>
  <c r="E23" i="7" s="1"/>
  <c r="D24" i="7"/>
  <c r="D23" i="7" s="1"/>
  <c r="H17" i="7"/>
  <c r="H16" i="7" s="1"/>
  <c r="G17" i="7"/>
  <c r="G16" i="7" s="1"/>
  <c r="F17" i="7"/>
  <c r="F16" i="7" s="1"/>
  <c r="E17" i="7"/>
  <c r="E16" i="7" s="1"/>
  <c r="D17" i="7"/>
  <c r="D16" i="7" s="1"/>
  <c r="H13" i="7"/>
  <c r="H12" i="7" s="1"/>
  <c r="G13" i="7"/>
  <c r="G12" i="7" s="1"/>
  <c r="F13" i="7"/>
  <c r="F12" i="7" s="1"/>
  <c r="E13" i="7"/>
  <c r="E12" i="7" s="1"/>
  <c r="D13" i="7"/>
  <c r="D12" i="7" s="1"/>
  <c r="H10" i="7"/>
  <c r="H9" i="7" s="1"/>
  <c r="G10" i="7"/>
  <c r="G9" i="7" s="1"/>
  <c r="F10" i="7"/>
  <c r="F9" i="7" s="1"/>
  <c r="E10" i="7"/>
  <c r="E9" i="7" s="1"/>
  <c r="D10" i="7"/>
  <c r="D9" i="7" s="1"/>
  <c r="F934" i="7" l="1"/>
  <c r="G934" i="7"/>
  <c r="H934" i="7"/>
  <c r="G948" i="7"/>
  <c r="E910" i="7"/>
  <c r="E970" i="7"/>
  <c r="F948" i="7"/>
  <c r="D934" i="7"/>
  <c r="F910" i="7"/>
  <c r="F838" i="7"/>
  <c r="G910" i="7"/>
  <c r="E934" i="7"/>
  <c r="D910" i="7"/>
  <c r="H910" i="7"/>
  <c r="H948" i="7"/>
  <c r="F780" i="7"/>
  <c r="H970" i="7"/>
  <c r="F941" i="7"/>
  <c r="E922" i="7"/>
  <c r="D948" i="7"/>
  <c r="E895" i="7"/>
  <c r="F962" i="7"/>
  <c r="E873" i="7"/>
  <c r="G970" i="7"/>
  <c r="D628" i="7"/>
  <c r="E628" i="7"/>
  <c r="F970" i="7"/>
  <c r="F15" i="7"/>
  <c r="F895" i="7"/>
  <c r="G895" i="7"/>
  <c r="D970" i="7"/>
  <c r="D895" i="7"/>
  <c r="H895" i="7"/>
  <c r="D723" i="7"/>
  <c r="E15" i="7"/>
  <c r="G302" i="7"/>
  <c r="G301" i="7" s="1"/>
  <c r="D325" i="7"/>
  <c r="G802" i="7"/>
  <c r="D941" i="7"/>
  <c r="H941" i="7"/>
  <c r="F302" i="7"/>
  <c r="F301" i="7" s="1"/>
  <c r="E706" i="7"/>
  <c r="E705" i="7" s="1"/>
  <c r="E780" i="7"/>
  <c r="G922" i="7"/>
  <c r="G962" i="7"/>
  <c r="G561" i="7"/>
  <c r="G873" i="7"/>
  <c r="E325" i="7"/>
  <c r="D873" i="7"/>
  <c r="H711" i="7"/>
  <c r="H706" i="7" s="1"/>
  <c r="H705" i="7" s="1"/>
  <c r="H780" i="7"/>
  <c r="E955" i="7"/>
  <c r="E790" i="7"/>
  <c r="D15" i="7"/>
  <c r="H15" i="7"/>
  <c r="H572" i="7"/>
  <c r="H561" i="7" s="1"/>
  <c r="H325" i="7" s="1"/>
  <c r="D754" i="7"/>
  <c r="D753" i="7" s="1"/>
  <c r="H754" i="7"/>
  <c r="H753" i="7" s="1"/>
  <c r="G754" i="7"/>
  <c r="G753" i="7" s="1"/>
  <c r="E754" i="7"/>
  <c r="E753" i="7" s="1"/>
  <c r="E887" i="7"/>
  <c r="E948" i="7"/>
  <c r="D302" i="7"/>
  <c r="D301" i="7" s="1"/>
  <c r="G743" i="7"/>
  <c r="E802" i="7"/>
  <c r="D838" i="7"/>
  <c r="H838" i="7"/>
  <c r="F922" i="7"/>
  <c r="E941" i="7"/>
  <c r="F955" i="7"/>
  <c r="G955" i="7"/>
  <c r="F873" i="7"/>
  <c r="H685" i="7"/>
  <c r="G688" i="7"/>
  <c r="H723" i="7"/>
  <c r="F802" i="7"/>
  <c r="D8" i="7"/>
  <c r="H8" i="7"/>
  <c r="G780" i="7"/>
  <c r="D955" i="7"/>
  <c r="H955" i="7"/>
  <c r="G15" i="7"/>
  <c r="F711" i="7"/>
  <c r="F706" i="7" s="1"/>
  <c r="F705" i="7" s="1"/>
  <c r="G723" i="7"/>
  <c r="F723" i="7"/>
  <c r="F743" i="7"/>
  <c r="E743" i="7"/>
  <c r="F887" i="7"/>
  <c r="H922" i="7"/>
  <c r="D802" i="7"/>
  <c r="F325" i="7"/>
  <c r="G559" i="7"/>
  <c r="H672" i="7"/>
  <c r="H671" i="7" s="1"/>
  <c r="D780" i="7"/>
  <c r="E838" i="7"/>
  <c r="E962" i="7"/>
  <c r="H802" i="7"/>
  <c r="G8" i="7"/>
  <c r="H302" i="7"/>
  <c r="H301" i="7" s="1"/>
  <c r="G711" i="7"/>
  <c r="G706" i="7" s="1"/>
  <c r="G705" i="7" s="1"/>
  <c r="G838" i="7"/>
  <c r="D887" i="7"/>
  <c r="H887" i="7"/>
  <c r="D922" i="7"/>
  <c r="F8" i="7"/>
  <c r="E8" i="7"/>
  <c r="F665" i="7"/>
  <c r="H639" i="7"/>
  <c r="H638" i="7" s="1"/>
  <c r="G638" i="7"/>
  <c r="F638" i="7"/>
  <c r="G668" i="7"/>
  <c r="H668" i="7" s="1"/>
  <c r="H665" i="7" s="1"/>
  <c r="G685" i="7"/>
  <c r="F698" i="7"/>
  <c r="D706" i="7"/>
  <c r="D705" i="7" s="1"/>
  <c r="E723" i="7"/>
  <c r="D743" i="7"/>
  <c r="H743" i="7"/>
  <c r="F754" i="7"/>
  <c r="F753" i="7" s="1"/>
  <c r="G887" i="7"/>
  <c r="H699" i="7"/>
  <c r="H698" i="7" s="1"/>
  <c r="G698" i="7"/>
  <c r="D790" i="7"/>
  <c r="G941" i="7"/>
  <c r="D962" i="7"/>
  <c r="H962" i="7"/>
  <c r="F628" i="7" l="1"/>
  <c r="D324" i="7"/>
  <c r="H722" i="7"/>
  <c r="D722" i="7"/>
  <c r="E324" i="7"/>
  <c r="G722" i="7"/>
  <c r="E722" i="7"/>
  <c r="G325" i="7"/>
  <c r="F324" i="7"/>
  <c r="F722" i="7"/>
  <c r="H628" i="7"/>
  <c r="H324" i="7" s="1"/>
  <c r="G665" i="7"/>
  <c r="G628" i="7" s="1"/>
  <c r="D7" i="7" l="1"/>
  <c r="H7" i="7"/>
  <c r="E7" i="7"/>
  <c r="G324" i="7"/>
  <c r="F7" i="7"/>
  <c r="G7" i="7" l="1"/>
  <c r="H8" i="8" l="1"/>
</calcChain>
</file>

<file path=xl/sharedStrings.xml><?xml version="1.0" encoding="utf-8"?>
<sst xmlns="http://schemas.openxmlformats.org/spreadsheetml/2006/main" count="2908" uniqueCount="1243">
  <si>
    <t>անվանում</t>
  </si>
  <si>
    <t>2024թ բյուջե</t>
  </si>
  <si>
    <t>2025թ</t>
  </si>
  <si>
    <t>ծրագրի դասիչը</t>
  </si>
  <si>
    <t>միջոցառման դասիչը</t>
  </si>
  <si>
    <t>2026թ.</t>
  </si>
  <si>
    <t>2027թ.</t>
  </si>
  <si>
    <t>2023թ փաստ</t>
  </si>
  <si>
    <t>Ընթացիկ ծախսեր, այդ թվում՝</t>
  </si>
  <si>
    <t>Կապիտալ ծախսեր, այդ թվում՝</t>
  </si>
  <si>
    <t>Տեղեկանք N 1</t>
  </si>
  <si>
    <t>Պահանջվող ծախսերի գնահատականը (հազ. դրամ)**</t>
  </si>
  <si>
    <t>Ծանոթություն***</t>
  </si>
  <si>
    <t xml:space="preserve">Բազային բյուջե* ըստ ԲԳԿ–ների </t>
  </si>
  <si>
    <t>** 2025-2027թթ յուրաքանչյուր տարվա համար ծախսերի գնահատականները ներկայացնել ամբողջական գումարի չափով:</t>
  </si>
  <si>
    <t>*** Ներկայացնել ծախսերի հաշվարկման համար կիրառված մոտեցումը /մեթոդը:</t>
  </si>
  <si>
    <t>*Բազայան բյուջե-2025-2027թթ համար առանց քաղաքականության փոփոխության 2024 թվականի պետական բյուջեով գոյություն ունեցող ծրագրի միջոցառումների գծով լրացուցիչ ֆինանսական միջոցների գնահատականները, որոնք պայմանավորված են ծախսային այն գնային և ոչ գնային գործոններով, որոնք անմիջականորեն ազդել են ռեսուրսների սպառման (ծախսման) մակարդակի կամ դրանց գների վրա (օրինակ՝ շահառուների թվաքանակի փոփոխությունը, նվազագույն աշխատավարձի փոփոխությունը և այլն): Այդ առումով, որպես ծախսային գործոններ պետք է դիտարկվեն այն գնային և ոչ գնային գործոնները, որոնց վերաբերյալ արված ենթադրություններում (կանխատեսվող ցուցանիշներում) հայտատուից անկախ պատճառներով տեղի են ունեցել այնպիսի փոփոխություններ, որոնք չեն հանգեցնում գոյություն ունեցող ծախսային ծրագրերի միջոցառումների (ծառայությունների) և/կամ շահառուների շրջանակի փոփոխության, սակայն հանգեցնում են այդ ծրագրերի/միջոցառումների գծով ծախսերի փոփոխության:</t>
  </si>
  <si>
    <t>ԲԳԿ</t>
  </si>
  <si>
    <t>Հանրապետության նախագահի աշխատակազմ</t>
  </si>
  <si>
    <t>ՀՀ Ազգային ժողով</t>
  </si>
  <si>
    <t>ՀՀ վարչապետի աշխատակազմ</t>
  </si>
  <si>
    <t>ՀՀ սահմանադրական դատարան</t>
  </si>
  <si>
    <t>Բարձրագույն դատական խորհուրդ</t>
  </si>
  <si>
    <t>ՀՀ դատախազություն</t>
  </si>
  <si>
    <t>ՀՀ տարածքային կառավարման և ենթակառուցվածքների նախարարություն</t>
  </si>
  <si>
    <t>ՀՀ  առողջապահության  նախարարություն</t>
  </si>
  <si>
    <t>ՀՀ  արդարադատության նախարարություն</t>
  </si>
  <si>
    <t>ՀՀ էկոնոմիկայի նախարարություն</t>
  </si>
  <si>
    <t>ՀՀ արտաքին գործերի  նախարարություն</t>
  </si>
  <si>
    <t>ՀՀ շրջակա միջավայրի նախարարություն</t>
  </si>
  <si>
    <t>ՀՀ  կրթության, գիտության, մշակույթի և սպորտի նախարարություն</t>
  </si>
  <si>
    <t>ՀՀ  պաշտպանության  նախարարություն</t>
  </si>
  <si>
    <t>ՀՀ  աշխատանքի և սոցիալական հարցերի նախարարություն</t>
  </si>
  <si>
    <t>ՀՀ բարձր տեխնոլոգիական արդյունաբերության նախարարություն</t>
  </si>
  <si>
    <t>ՀՀ ֆինանսների նախարարություն</t>
  </si>
  <si>
    <t>ՀՀ ներքին գործերի նախարարություն</t>
  </si>
  <si>
    <t>ՀՀ վիճակագրական կոմիտե</t>
  </si>
  <si>
    <t>ՀՀ հանրային ծառայությունները կարգավորող հանձնաժողով</t>
  </si>
  <si>
    <t>ՀՀ կենտրոնական ընտրական հանձնաժողով</t>
  </si>
  <si>
    <t>ՀՀ մրցակցության պաշտպանության հանձնաժողով</t>
  </si>
  <si>
    <t>ՀՀ կադաստրի կոմիտե</t>
  </si>
  <si>
    <t>Հեռուստատեսության և ռադիոյի հանձնաժողով</t>
  </si>
  <si>
    <t>ՀՀ պետական եկամուտների կոմիտե</t>
  </si>
  <si>
    <t>ՀՀ ազգային անվտանգության ծառայություն</t>
  </si>
  <si>
    <t>Հանրային հեռարձակողի խորհուրդ</t>
  </si>
  <si>
    <t>ՀՀ հաշվեքննիչ պալատ</t>
  </si>
  <si>
    <t>Մարդու իրավունքների պաշտպանի աշխատակազմ</t>
  </si>
  <si>
    <t>ՀՀ  միջուկային անվտանգության կարգավորման  կոմիտե</t>
  </si>
  <si>
    <t>ՀՀ պետական պահպանության ծառայություն</t>
  </si>
  <si>
    <t>ՀՀ քննչական կոմիտե</t>
  </si>
  <si>
    <t>ՀՀ քաղաքաշինության կոմիտե</t>
  </si>
  <si>
    <t>Կոռուպցիայի կանխարգելման հանձնաժողով</t>
  </si>
  <si>
    <t>ՀՀ պետական վերահսկողական ծառայություն</t>
  </si>
  <si>
    <t>Հակակոռուպցիոն կոմիտե</t>
  </si>
  <si>
    <t>Արտաքին հետախուզության ծառայություն</t>
  </si>
  <si>
    <t>ՀՀ Արագածոտնի մարզպետի աշխատակազմ</t>
  </si>
  <si>
    <t>ՀՀ  Արարատի  մարզպետի աշխատակազմ</t>
  </si>
  <si>
    <t xml:space="preserve">ՀՀ  Արմավիրի մարզպետի աշխատակազմ </t>
  </si>
  <si>
    <t>ՀՀ Գեղարքունիքի մարզպետի աշխատակազմ</t>
  </si>
  <si>
    <t>ՀՀ Լոռու մարզպետի աշխատակազմ</t>
  </si>
  <si>
    <t>ՀՀ Կոտայքի մարզպետի աշխատակազմ</t>
  </si>
  <si>
    <t>ՀՀ Շիրակի մարզպետի աշխատակազմ</t>
  </si>
  <si>
    <t>ՀՀ Սյունիքի մարզպետի աշխատակազմ</t>
  </si>
  <si>
    <t>ՀՀ Վայոց ձորի մարզպետի աշխատակազմ</t>
  </si>
  <si>
    <t>ՀՀ Տավուշի մարզպետի աշխատակազմ</t>
  </si>
  <si>
    <t>ԸՆԴԱՄԵՆԸ</t>
  </si>
  <si>
    <t>Մ-2774-2024</t>
  </si>
  <si>
    <t>Գործադիր իշխանության, պետական կառավարման հանրապետական և տարածքային կառավարման մարմինների պահպանում</t>
  </si>
  <si>
    <t>Արտասահմանյան պատվիրակությունների ընդունելություն</t>
  </si>
  <si>
    <t>ՀՀ Վայոց ձորի մարզպետարանի տեխնիկական հագեցվածության բարելավում</t>
  </si>
  <si>
    <t xml:space="preserve"> 11001</t>
  </si>
  <si>
    <t xml:space="preserve"> ՀՀ Լոռու  մարզպետի աշխատակազմի կողմից տարածքային պետական կառավարման ապահովում</t>
  </si>
  <si>
    <t>ՀՀ վարչապետի 23.10.2023թ. թիվ 1080 որոշմամբ աշխատակիցների թվաքանակը 2024թ. պետք է նվազի 21-ով, սակայն այս պահին դեռևս գործընթացը չի ավարտվել, չունենք հաստատված հաստիքացուցակ, ուստի 2025-2027թ. պահանջվող գումարը պահպանվել է</t>
  </si>
  <si>
    <t>ՀՀ Լոռու մարզում տարածքային պետական կառավարում</t>
  </si>
  <si>
    <t xml:space="preserve"> 31001</t>
  </si>
  <si>
    <t xml:space="preserve"> ՀՀ Լոռու  մարզպետի աշխատակազմի տեխնիկական հագեցվածության բարելավում</t>
  </si>
  <si>
    <t xml:space="preserve"> ՀՀ Վայոց ձորի մարզում տարածքային պետական կառավարում</t>
  </si>
  <si>
    <t>Մ-2557-2024</t>
  </si>
  <si>
    <t>Մ-2615-2024</t>
  </si>
  <si>
    <t>ՀՀ ԱԺ գործունեության ապահովում, օրենսդրական վերլուծական և ներկայացուցչական ծառայություններ</t>
  </si>
  <si>
    <t>ՀՀ ԱԺ աշխատակազմի պետական ծառայողների վերապատրաստում</t>
  </si>
  <si>
    <t xml:space="preserve"> ՀՀ Ազգային ժողովի դերի բարձրացմանն  ուղղված միջոցառումների իրականացում</t>
  </si>
  <si>
    <t>Միջազգային խորհրդարանական կազմակերպություններին ՀՀ անդամակցության վճարներ</t>
  </si>
  <si>
    <t xml:space="preserve"> Աջակցություն կուսակցություններին և կուսակցությունների դաշինքներին</t>
  </si>
  <si>
    <t xml:space="preserve"> ՀՀ Ազգային ժողովի լիազորությունների իրականացման ապահովում</t>
  </si>
  <si>
    <t>ՀՀ ԱԺ տեխնիկական հագեցվածության բարելավվում</t>
  </si>
  <si>
    <t>ՀՀ ԱԺ շենքային պայմանների բարելավվում</t>
  </si>
  <si>
    <t>Մ-2507-2024</t>
  </si>
  <si>
    <t>Մ-2379-2024</t>
  </si>
  <si>
    <t>Ընտրական գործընթացների համակարգում,կանոնակարգում և տեղեկատվության տրամադրում</t>
  </si>
  <si>
    <t>Կենտրոնական ընտրական հանձնաժողովի գործունեության ապահովում և ընտրական ծրագրերի համակարգման, կազմակերպման, անցկացման, մոնիտորինգի ծառայություններ</t>
  </si>
  <si>
    <t xml:space="preserve"> Ընտրական հանձնաժողովների անդամների մասնագիտական դասընթացների կազմակերպում</t>
  </si>
  <si>
    <t>Տեղական ինքնակառավարման մարմինների ընտրությունների կազմակերպում</t>
  </si>
  <si>
    <t xml:space="preserve"> ՀՀ կենտրոնական ընտրական հանձնաժողովի շենքային պայմանների բարելավում</t>
  </si>
  <si>
    <t>ՀՀ Տավուշի մարզպետարանի կողմից տարածքային պետական կառավարման ապահովում</t>
  </si>
  <si>
    <t xml:space="preserve"> ՀՀ Տավուշի մարզում տարածքային պետական կառավարում</t>
  </si>
  <si>
    <t>ՀՀ Տավուշի մարզպետարանի տեխնիկական հագեցվածության բարելավում</t>
  </si>
  <si>
    <t>Վարչական սարքավորումներ</t>
  </si>
  <si>
    <t>Մ-2035-2024</t>
  </si>
  <si>
    <t>Հ/Հ</t>
  </si>
  <si>
    <t>Անվանում</t>
  </si>
  <si>
    <t>Մ-3031-2024</t>
  </si>
  <si>
    <t>Հանրապետությա նախագահի լիազորությունների իրականացման ապահովում</t>
  </si>
  <si>
    <t>Հանրապետության նախագահի գործունեության և ներկայացուցչականության ապահովում</t>
  </si>
  <si>
    <t>Հանրապետությա նախագահի աշխատակազմի տեխնիկական հագեցվածության բարելավում</t>
  </si>
  <si>
    <t>Մ-3242-2024</t>
  </si>
  <si>
    <t>Մ-3252-2024</t>
  </si>
  <si>
    <t xml:space="preserve">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 </t>
  </si>
  <si>
    <t>Աճը պայմանավորված է աշխատավարձի բնականոն աճով</t>
  </si>
  <si>
    <t xml:space="preserve"> 11002 </t>
  </si>
  <si>
    <t xml:space="preserve"> ՀՀ Վճռաբեկ դատարանի բնականոն գործունեության և ՀՀ Վճռաբեկ դատարանի կողմից դատական պաշտպանության իրավունքի ապահովում </t>
  </si>
  <si>
    <t xml:space="preserve"> 11003 </t>
  </si>
  <si>
    <t xml:space="preserve"> ՀՀ վերաքննիչ քաղաքացիական դատարանի բնականոն գործունեության և ՀՀ Վերաքննիչ քաղաքացիական դատարանի կողմից դատական պաշտպանության իրավունքի ապահովում </t>
  </si>
  <si>
    <t xml:space="preserve"> 11004 </t>
  </si>
  <si>
    <t xml:space="preserve"> ՀՀ վերաքննիչ քրեական դատարանի բնականոն գործունեության և ՀՀ Վերաքննիչ քրեական դատարանի կողմից դատական պաշտպանության իրավունքի ապահովում </t>
  </si>
  <si>
    <t xml:space="preserve"> 11005 </t>
  </si>
  <si>
    <t xml:space="preserve"> ՀՀ վերաքննիչ վարչական դատարանի բնականոն գործունեության և ՀՀ Վերաքննիչ վարչական դատարանի կողմից դատական պաշտպանության իրավունքի ապահովում </t>
  </si>
  <si>
    <t xml:space="preserve"> 11006</t>
  </si>
  <si>
    <t xml:space="preserve"> ՀՀ վարչական դատարանի բնականոն գործունեության և ՀՀ Վարչական դատարանի կողմից դատական պաշտպանության իրավունքի ապահովում </t>
  </si>
  <si>
    <t xml:space="preserve"> 11007</t>
  </si>
  <si>
    <t xml:space="preserve"> Երևան քաղաքի ընդհանուր իրավասության դատարանի բնականոն գործունեության և Երևան քաղաքի ընդհանուր իրավասության դատարանի կողմից դատական պաշտպանության իրավունքի ապահովում </t>
  </si>
  <si>
    <t xml:space="preserve"> 11008 </t>
  </si>
  <si>
    <t xml:space="preserve"> ՀՀ Արագածոտնի մարզի ընդհանուր իրավասության դատարանի բնականոն գործունեության և ՀՀ Արագածոտնի մարզի ընդհանուր իրավասության դատարանի կողմից դատական պաշտպանության իրավունքի ապահովում </t>
  </si>
  <si>
    <t xml:space="preserve"> 11009</t>
  </si>
  <si>
    <t xml:space="preserve"> ՀՀ Արարատի և Վայոց ձորի մարզերի ընդհանուր իրավասության դատարանի բնականոն գործունեության և ՀՀ Արարատի և Վայոց ձորի մարզերի ընդհանուր իրավասության դատարանի կողմից դատական պաշտպանության իրավունքի ապահովում </t>
  </si>
  <si>
    <t xml:space="preserve"> 11010 </t>
  </si>
  <si>
    <t xml:space="preserve"> ՀՀ Արմավիրի մարզի ընդհանուր իրավասության դատարանի բնականոն գործունեության և ՀՀ Արմավիրի մարզի ընդհանուր իրավասության դատարանի կողմից դատական պաշտպանության իրավունքի ապահովում </t>
  </si>
  <si>
    <t xml:space="preserve"> 11011 </t>
  </si>
  <si>
    <t xml:space="preserve"> ՀՀ Գեղարքունիքի մարզի ընդհանուր իրավասության դատարանի բնականոն գործունեության և ՀՀ Գեղարքունիքի մարզի ընդհանուր իրավասության դատարանի կողմից դատական պաշտպանության իրավունքի ապահովում </t>
  </si>
  <si>
    <t xml:space="preserve"> 11012 </t>
  </si>
  <si>
    <t xml:space="preserve"> ՀՀ Լոռու մարզի ընդհանուր իրավասության դատարանի բնականոն գործունեության և ՀՀ Լոռու մարզի ընդհանուր իրավասության դատարանի կողմից դատական պաշտպանության իրավունքի ապահովում </t>
  </si>
  <si>
    <t xml:space="preserve"> 11013</t>
  </si>
  <si>
    <t xml:space="preserve"> ՀՀ Կոտայքի մարզի ընդհանուր իրավասության դատարանի բնականոն գործունեության և ՀՀ Կոտայքի մարզի ընդհանուր իրավասության դատարանի կողմից դատական պաշտպանության իրավունքի ապահովում </t>
  </si>
  <si>
    <t xml:space="preserve"> 11014 </t>
  </si>
  <si>
    <t xml:space="preserve"> ՀՀ Շիրակի մարզի ընդհանուր իրավասության դատարանի բնականոն գործունեության և ՀՀ Շիրակի մարզի ընդհանուր իրավասության դատարանի կողմից դատական պաշտպանության իրավունքի ապահովում </t>
  </si>
  <si>
    <t xml:space="preserve"> 11015</t>
  </si>
  <si>
    <t xml:space="preserve"> ՀՀ Սյունիքի մարզի ընդհանուր իրավասության դատարանի բնականոն գործունեության և ՀՀ Սյունիքի մարզի ընդհանուր իրավասության դատարանի կողմից դատական պաշտպանության իրավունքի ապահովում </t>
  </si>
  <si>
    <t xml:space="preserve"> 11016</t>
  </si>
  <si>
    <t xml:space="preserve"> ՀՀ Տավուշի մարզի ընդհանուր իրավասության դատարանի բնականոն գործունեության և ՀՀ Տավուշի մարզի ընդհանուր իրավասության դատարանի կողմից դատական պաշտպանության իրավունքի ապահովում </t>
  </si>
  <si>
    <t xml:space="preserve"> 11017</t>
  </si>
  <si>
    <t xml:space="preserve"> ՀՀ Սնանկության դատարանի բնականոն գործունեության և ՀՀ Սնանկության դատարանի կողմից դատական պաշտպանության իրավունքի ապահովում </t>
  </si>
  <si>
    <t xml:space="preserve"> 11018</t>
  </si>
  <si>
    <t xml:space="preserve"> Բարձրագույն դատական խորհրդի և ՀՀ դատարանների պահուստային ֆոնդի ձևավորում և կառավարում </t>
  </si>
  <si>
    <t>Պահուստային ֆոնդի գումարը հաշվարկվում է տվյալ տարվա պետական բյուջեի մասին օրենքով դատական իշխանության մարմինների համար նախատեսված ծախսերի 2 տոկոսի չափով</t>
  </si>
  <si>
    <t xml:space="preserve"> 11019</t>
  </si>
  <si>
    <t xml:space="preserve">Հակակոռուպցիոն դատարանի բնականոն գործունեության և Հակակոռուպցիոն դատարանի կողմից դատական պաշտպանության իրավունքի ապահովում </t>
  </si>
  <si>
    <t xml:space="preserve"> ՀՀ վերաքննիչ հակակոռուպցիոն դատարանի բնականոն գործունեության և ՀՀ Վերաքննիչ հակակոռուպցիոն դատարանի կողմից դատական պաշտպանության իրավունքի ապահովում</t>
  </si>
  <si>
    <t xml:space="preserve"> Դատավորների և դատական կարգադրիչների հատուկ պատրաստականության դասընթացների անցկացում և դատական համակարգի քաղաքացիական ծառայողների վերապատրաստում </t>
  </si>
  <si>
    <t xml:space="preserve"> Երևան քաղաքի ընդհանուր իրավասության քաղաքացիական դատարանիբնականոն գործունեության և Երևան քաղաքի ընդհանուր իրավասության քաղաքացիական դատարանի կողմից դատական պաշտպանության իրավունքի ապահովում </t>
  </si>
  <si>
    <t xml:space="preserve"> Երևան քաղաքի ընդհանուր իրավասության քրեական դատարանիբնականոն գործունեության և Երևան քաղաքի ընդհանուր իրավասության քրեական դատարանի կողմից դատական պաշտպանության իրավունքի ապահովում </t>
  </si>
  <si>
    <t xml:space="preserve"> Բարձրագույն դատական խորհրդի տեխնիկական հագեցվածության բարելավում </t>
  </si>
  <si>
    <t>Բարձրագույն դատական խորհրդի և դատարանների շենքային պայմանների բարելավում</t>
  </si>
  <si>
    <t>Աճը պայմանավորված է ՀՀ կառավարության 2023 թվականի հունիսի 29-ի թիվ 1082-Ն որոշմամբ հաստատված 2024-2026թթ. ՄԺԾԾ չափաքանակներով դատարանների շենքերի կառուցման և վերակառուցման նպատակով նախատեսված կապիտալ շինարարության գումարներով</t>
  </si>
  <si>
    <t xml:space="preserve"> Բարձրագույն դատական խորհրդի տրանսպորտային միջոցներով ապահովվածության բարելավում</t>
  </si>
  <si>
    <t xml:space="preserve"> Դատական իշխանության գործունեության ապահովում և իրականացում</t>
  </si>
  <si>
    <t>Մ-3334-2024</t>
  </si>
  <si>
    <t xml:space="preserve">Դատավարական ղեկավարում և դատախազական հսկողություն </t>
  </si>
  <si>
    <t>Լրացուցիչ ֆինանսավորման անհրաժեշտությունն առաջանում է ֆինանսների նախարարության կողմից 1 ավտոմեքենայի տարեկան միջին ծախսը (անվադողերի, քսայուղերի, մարտկոցների ձեռքբերում և տեխնիկական զննություն) 1,200.0 հազ. դրամ նախատեսելու արդյունքում, որը դատախազության նկատմամբ օբյեկտիվորեն կիրառելի չէ, քանի որ միայն 1 ավտոմեքենայի բենզինի միջին ամսական ծախսը կազմում է 250 լիտր (250*12*490=1,470.0 հազ. դրամ):</t>
  </si>
  <si>
    <t>Վարչական շենքերի վերանորոգման նախահաշվային փաստաթղթեր</t>
  </si>
  <si>
    <t>ՀՀ դատախազության տեխնիկական հագեցվածության բավարարում</t>
  </si>
  <si>
    <t xml:space="preserve">ՀՀ դատախազության ավտոպարկը բավականին հին է և անհրաժեշտություն ունի նորերով փոխարինման, ինչը բազմիցս մեր կողմից բարձրաձայնվել է, քանի որ տրանսպորտային միջոցներից 49-ը 1998-2011թթ. արտադրության ավտոմեքենաներ են, որոնք աշխատում են մեծ վնասով՝ գերածախսով: </t>
  </si>
  <si>
    <t>Մ-3347-2024</t>
  </si>
  <si>
    <t xml:space="preserve"> Դատավարական ղեկավարում և դատախազական հսկողություն</t>
  </si>
  <si>
    <t>Մ-3555-2024</t>
  </si>
  <si>
    <t>Մ-3582-2024</t>
  </si>
  <si>
    <t xml:space="preserve"> Կոռուպցիայի կանխարգելում և բարեվարքության համակարգի զարգացում </t>
  </si>
  <si>
    <t>Ըստ գործող օրենքներով վերապահված, ինչպես նաև դեռևս չընդունված օրենքների նախագծերով  նախատեսվող  հանձնաժողովի գործառույթների շրջանակի ընդլայնման հանգամանքով պայմանավորված, բացի այդ արդեն իսկ  ուժի մեջ մտած հակակոռուպցիոն ռազմավարությամբ  հաստատված գործողությունների ծրագրով նախատեսված միջոցառումների իրականացման  արդյունքում նախատեսվում է 15 հաստիքային միավորի ավելացում՝ 101562.0 հազ.դրամ: Հաշվարկը կատարվել է 1 աշխատողին ընկնող միջին ծախսը բազմապատկելով նոր ավելացող աշխատողների թվով,ինչպես  նաև ավելացվել է  կուսակցությունների տարեկան  հաշվետվությունները՝  նախնական 11, ամենամյա  աուդիտի  ենթարկելու գումար՝ 29727.0 հազ. դրամ (առկա որոշման նախագիծ՝21620.0/8*11),  որը մինչ օրս  հատկացվում է ՀՀ Կառավարության պահուստային ֆոնդից՝  կառավարության որոշումներով:</t>
  </si>
  <si>
    <t>Կոռուպցիայի դեմ պայքարին առնչվող հարցերով կրթական և հանրային իրազեկվածության բարձրացմանն ուղղված ծրագրերի մշակման և միջոցառումների իրականացման աշխատանքներ</t>
  </si>
  <si>
    <t xml:space="preserve"> Կոռուպցիայի կանխարգելման հանձնաժողովի կարողությունների զարգացում և տեխնիկական հագեցվածության ապահովում </t>
  </si>
  <si>
    <t xml:space="preserve"> Կոռուպցիայի կանխարգելման համակարգի զարգացման ապահովում</t>
  </si>
  <si>
    <t>Մ-3631-2024</t>
  </si>
  <si>
    <t>ՀՀ  Արարատի մարզում տարածքային պետական կառավարում,ՀՀ  Արարատի մարզպետարանի կողմից տարածքային  պետական կառավարման ապահովում</t>
  </si>
  <si>
    <t xml:space="preserve"> ՀՀ Արարատի մարզում տարածքային պետական կառավարում</t>
  </si>
  <si>
    <t>Մ-3700-2024</t>
  </si>
  <si>
    <t xml:space="preserve"> ՀՀ Կոտայքի մարզում տարածքային պետական կառավարում</t>
  </si>
  <si>
    <t xml:space="preserve"> ՀՀ Լոռու մարզպետի աշխատակազմի կողմից տարածքային պետական կառավարման ապահովում</t>
  </si>
  <si>
    <t>Մ-3720-2024</t>
  </si>
  <si>
    <t>Մ-3759-2024</t>
  </si>
  <si>
    <t>Լրացուցիչ ֆինանսավորում չի պահանջվում</t>
  </si>
  <si>
    <t>Մ-3779-2024</t>
  </si>
  <si>
    <t xml:space="preserve"> ՀՀ Գեղարքունիքի մարզում տարածքային պետական կառավարում</t>
  </si>
  <si>
    <t xml:space="preserve"> ՀՀ Գեղարքունիքի մարզպետի աշխատակազմի կողմից տարածքային պետական կառավարման ապահովում</t>
  </si>
  <si>
    <t>Մ-3755-2024</t>
  </si>
  <si>
    <t>Մ-3684-2024</t>
  </si>
  <si>
    <t>ՀՀ Արմավիրի մարզում տարածքային պետական կառավարում/ծրագիր/, ՀՀ Արմավիրի մարզպետի աշխատակազմի կողմից տարածքային պետական կառավարման ապահովում/միջոցառում/</t>
  </si>
  <si>
    <t>2025-2027թթ  ծախսերիի հաշվարկները  ներկայացված են 2024 թ բյուջեի հաշվարկների հիմքով,քանի որ հիմնական ծախսային գործոնները/ շահառուների թվաքանակի փոփոխություն ,նվազագույն աշխատավարձի փոփոխություն, ապրանքների և ծառայությունների արժեք/ չեն փոփոխվել</t>
  </si>
  <si>
    <t xml:space="preserve"> ՀՀ Արմավիրի մարզում տարածքային պետական կառավարում/ծրագիր/«ՀՀ Արմավիրի մարզպետի աշխատակազմի տեխնիկական հագեցվածության բարելավում» /միջոցառում/</t>
  </si>
  <si>
    <t xml:space="preserve"> Միջոցառման շրջանակներում նախատեսվում է ձեռք բերել համակարգչային սարքավորումներ և գրասենյակային գույք: Անհրաժեշտություն է առաջացել համակարգչային տեխնիկայի/համակարգիչներ,սկաներներ,տպիչներ,թղթաղաց սարք/ձեռքբերելու  և գրասենյակային գույքի/աթոռներ/ արդիականացման</t>
  </si>
  <si>
    <t xml:space="preserve"> ՀՀ Արմավիրի մարզում տարածքային պետական կառավարում</t>
  </si>
  <si>
    <t>Մ-3723-2024</t>
  </si>
  <si>
    <t>ՀՀ քննչական ծառայություններ</t>
  </si>
  <si>
    <t xml:space="preserve"> ՀՀ քննչական կոմիտեի տեխնիկական հագեցվածության բարելավում</t>
  </si>
  <si>
    <t xml:space="preserve">Կանխատեսվող ծախսերի ավելացումը պայմանավորված է  հաստիքների քանակի ավելացմամբ  համակարգչային տեխնիկայի և գրասենյակային գույքի ձեռքբերումով:   </t>
  </si>
  <si>
    <t xml:space="preserve"> ՀՀ քննչական կոմիտեի տրանսպորտային միջոցներով ապահովվածության բարելավում</t>
  </si>
  <si>
    <t>Կանխատեսվող ծախսերի ավելացումը պայմանավորված է հատուկ կահավորմամբ ավտոմեքենաների ձեռքբերումով:</t>
  </si>
  <si>
    <t xml:space="preserve"> ՀՀ քննչական կոմիտեի շենքային պայմանների բարելավում</t>
  </si>
  <si>
    <t>Կանխատեսվող ծախսերի ավելացումը պայմանավորված է հատկացված նոր վարչական շենքի կապիտալ վերանորոգումով:</t>
  </si>
  <si>
    <t>Քրեական գործերով վարույթի իրականացում</t>
  </si>
  <si>
    <t>ՀՀ քննչական կոմիտեի պահուստային ֆոնդ</t>
  </si>
  <si>
    <t>Կանխատեսվող ծախսերի ավելացումը պայմանավորված է  հաստիքների քանակի ավելացմամբ համաձայն ՀՀ վարչապետի 2024թվականի  հունվարի 5-ի N9-Ա որոշմամբ, ինչպես նաև աշխատավարձի բնականոն աճի հաշվարկով և ՀՀ կառավարության 2023թվականի դեկտեմբերի 21-ի N2244-Ն որոշումով նոր վարչական շենքի հատկացումով: Ծախսերի ավելացումը պայմանավորված է գնային և ոչ գնային գործոններով:</t>
  </si>
  <si>
    <t>Մ-3816-2024</t>
  </si>
  <si>
    <t>Ռազմական ուսուցում և վերապատրաստում</t>
  </si>
  <si>
    <t>Ռազմաուսումնական հաստատություններում նեղ մասնագետների պատրաստում և վերապատրաստում</t>
  </si>
  <si>
    <t>Ոչ գնային գործոն (շահառուներ թվաքանակի փոփոխություն)</t>
  </si>
  <si>
    <t>ՀՀ պաշտպանության ապահովում</t>
  </si>
  <si>
    <t>Ռազմական կարիքների բավարարում</t>
  </si>
  <si>
    <t>Հաշվարկման համար հիմք է հանդիսացել ստանձնված պարտավորությունները, զինված ուժերի բնականոն գործունեության պահպանման ծախսերը</t>
  </si>
  <si>
    <t>Ռազմաբժշկական սպասարկում և առողջապահական ծառայություններ</t>
  </si>
  <si>
    <t>Զինծառայողներին, ինչպես նաև նրանց ընտանիքի անդամներին բժշկական օգնության ծառայություններ</t>
  </si>
  <si>
    <t>Հաշվարկների համար հիմք են հանդիսացել ստանձնված պարտավորությունները, զինված ուժերի բնականոն գործունեության պահպանման ծախսերը</t>
  </si>
  <si>
    <t>Հիգիենիկ և համաճարակային փորձագիտական ծառայություններ</t>
  </si>
  <si>
    <t>Հոսպիտալների և բուժկետերի բժշկական սարքավորումների պահպանման ծառայություններ</t>
  </si>
  <si>
    <t>Դեղորայքի տրամադրում զորամասային և հոսպիտալային օղակներում բուժօգնություն ստացողներին</t>
  </si>
  <si>
    <t>ՀՀ պաշտպանության նախարարության շենքային պայմանների բարելավում</t>
  </si>
  <si>
    <t xml:space="preserve"> Ազգային անվտանգություն</t>
  </si>
  <si>
    <t xml:space="preserve"> Հետախուզական, հակահետախուզական, ռազմական հակահետախուզության,  հանցագործությունների դեմ պայքարի  և պետական սահմանի պահպանության գործունեության կազմակերպում</t>
  </si>
  <si>
    <t xml:space="preserve"> Ազգային անվտանգության համակարգի ստորաբաժանումների համար դեղորայքի ձեռքբերում</t>
  </si>
  <si>
    <t xml:space="preserve"> ՀՀ տարածքում երկաթուղով իրականացվող միջպետական ռազմական փոխադրումների, երկաթուղային կայարաններում կատարվող սպասարկման ծառայություններ</t>
  </si>
  <si>
    <t xml:space="preserve"> Պաշտպանության բնագավառի այլ ծախսեր</t>
  </si>
  <si>
    <t xml:space="preserve"> Ազգային անվտանգության համակարգի տեխնիկական հագեցվածության բարելավում</t>
  </si>
  <si>
    <t xml:space="preserve"> Ազգային անվտանգության համակարգի շենքային ապահովվածության բարելավում</t>
  </si>
  <si>
    <t xml:space="preserve"> Ազգային անվտանգության համակարգի տրանսպորտային սարքավորումների հագեցվածության բարելավում</t>
  </si>
  <si>
    <t>Գին/քանակ</t>
  </si>
  <si>
    <t>Ծախսերի հաշվարկման համար հիմք են հանդիսանում թե առկա և թե նախատեսվող նախագծանախահաշվային փաստաթղթերը: Բոլոր հաշվարկները կատարվում են քաղաքաշինության կոմիտեի կողմից բյուջետային հիմնարկների համար նախատեսված շինարարական նորմերին համապատասխան:</t>
  </si>
  <si>
    <t>Ծախսերի հաշվարկման համար հիմք են հանդիսանում պաշտոնական ներկրողների կողմից ներկայացված գնային առաջարկները, որոնք սակայն ենթարկվում են փոփոխության կախված ժամանակահատվածից՝հիմնականում գրանցվում է գնաճ:</t>
  </si>
  <si>
    <t>Մ-3887-2024</t>
  </si>
  <si>
    <t>Միջուկային և ճառագայթային անվտանգության կարգավորում</t>
  </si>
  <si>
    <t>2025-2027թթ համար Ֆինանսական միջոցների գնահատականները պայմանավորված են ծախսային  գնային  գործոններով։ /«Պետական պաշտոններ և պետական ծառայության պաշտոններ զբաղեցնող անձանց վարձատրության մասին» ՀՀ օրենք։/ Պետական ծառայողների հիմնական   աշխատավարձի բնականոն աճ։ Կանխատեսվող ցուցանիշների փոփոխությունը չի հանգեցնում գոյություն ունեցող ծախսային ծրագրի միջոցառման  և շահառուների շրջանակի փոփոխության։</t>
  </si>
  <si>
    <t>Լրացուցիչ ֆինանսավորում չի պահանջվում:Միևնույն ժամանակ, շրջանառվող «Հաշվեքննիչ պալատի մասին» ՀՀ օրենքում և հարակից օրենքներում փոփոխությունների մասին նախագծերի փաթեթի ընդունմամբ պայմանավորված՝ հնարավոր է առաջիկայում առաջանա լրացուցիչ ֆինանսական միջոցների ներգրավման անհրաժեշտություն</t>
  </si>
  <si>
    <t xml:space="preserve">ՀՀ Շիրակի մարզպետարանի կողմից տարածքային պետական կառավարման ապահովում </t>
  </si>
  <si>
    <t>ՀՀ Շիրակի մարզպետի աշխատակազմի տեխնիկական հագեցվածության բարելավում</t>
  </si>
  <si>
    <t>Ն/17-1/1200-2024</t>
  </si>
  <si>
    <t xml:space="preserve"> Պետական պարտքի կառավարում</t>
  </si>
  <si>
    <t xml:space="preserve"> 11002</t>
  </si>
  <si>
    <t xml:space="preserve"> Արտարժութային պետական պարտատոմսերի թողարկմանն առնչվող ծախսեր</t>
  </si>
  <si>
    <t xml:space="preserve"> 11003</t>
  </si>
  <si>
    <t xml:space="preserve"> ՀՀ պետական պարտքի կառավարման գործընթացի հրապարակայնության ապահովում</t>
  </si>
  <si>
    <t xml:space="preserve"> 11004</t>
  </si>
  <si>
    <t xml:space="preserve"> Պարտքի կառավարմանն առնչվող տեղեկատվական համակարգերի և ծրագրերի սպասարկում</t>
  </si>
  <si>
    <t xml:space="preserve"> 13001</t>
  </si>
  <si>
    <t xml:space="preserve"> Կառավարության պարտքի սպասարկում</t>
  </si>
  <si>
    <t xml:space="preserve"> 13003</t>
  </si>
  <si>
    <t xml:space="preserve"> Մուրհակների սպասարկում</t>
  </si>
  <si>
    <t xml:space="preserve"> 1031</t>
  </si>
  <si>
    <t xml:space="preserve"> Հանրային հատվածի ֆինանսական ոլորտի մասնագետների վերապատրաստում</t>
  </si>
  <si>
    <t>Հաշվարկի համար հիմք է ընդունվել նախորդ տարիների ընթացքում նշված ծառայության  համար նախատեսված գումարները</t>
  </si>
  <si>
    <t xml:space="preserve"> 1108</t>
  </si>
  <si>
    <t xml:space="preserve"> Հանրային ֆինանսների կառավարման բնագավառում պետական քաղաքականության մշակում, ծրագրերի համակարգում և մոնիտորինգ</t>
  </si>
  <si>
    <t xml:space="preserve"> Պլանավորում, բյուջետավորում, գանձապետական ծառայություններ, պետական պարտքի կառավարում, տնտեսական և հարկաբյուջետային քաղաքականության մշակում և մոնիտորինգ</t>
  </si>
  <si>
    <t xml:space="preserve"> Ֆինանսական կառավարման համակարգի վճարահաշվարկային ծառայություններ</t>
  </si>
  <si>
    <t xml:space="preserve">ՀՀ ֆինանսների նախարարությունում ներդրվել և գործում են LSFinance (ԳԳՕ), LSBudget և CLIENT-TREASURY hամակարգերը, ինչպես նաև ինտեգրված է պետական վճարումների e-payments համակարգը: Նշված համակարգերը ապահովում են վճարահաշվարկային գործառույթների իրականացումը:
e-payments համակարգի վերազինման արդյունքում, ինչպես նաև անկանխիկ գործարքների անցմամբ և POS տերմինալների կիրառմամբ պայմանավորված ընդլայնվելու է համակարգով իրականացվող գործարքների շրջանակը, հետևաբար նաև  hամակարգի ծրագրային ապահովման սպասարկման ծավալը: Ինչպես նաև ընդլայնվում է LSFinance (ԳԳՕ) և CLIENT-TREASURY hամակարգերով իրականացվող գործարքների շրջանակը, հետևաբար նաև  LSFinance (ԳԳՕ) և CLIENT-TREASURY hամակարգերի ծրագրային ապահովման սպասարկման ծավալը:
Միաժամանակ հայտնում ենք, որ  LSFinance (ԳԳՕ) և CLIENT-TREASURY hամակարգերի ծրագրային սպասարկման ծառայությունների ձեռք բերման նպատակով 22.01.24թ. կայացած մրցույթի միակ մասնակիցը ներկայացրել է 325 միլիոն դրամ գին, որը գերազանցում է նախատեսված գումարը: e-payments համակարգի ծրագրային սպասարկումն իրականացնող կազմակերպության կողմից 2024 թվականին ստացվել է գրություն, որով տեղեկացվել է, որ այսուհետ սպասարկման բնականոն աշխատանքի իրականացման համար պահանջվելու է ամսեկան 15 միլիոն դրամ գումար: </t>
  </si>
  <si>
    <t xml:space="preserve"> ՀՀ միջազգային վարկանիշի տրամադրում</t>
  </si>
  <si>
    <t>Հաշվարկի համար հիմք են հանդիսացել առաջիկա տարիների ընթացքում երեք վարկանիշային գործակալություններին վճարվելիք գումարների գծով կանխատեսումները:</t>
  </si>
  <si>
    <t xml:space="preserve"> 11010</t>
  </si>
  <si>
    <t xml:space="preserve"> Գործարար համաժողովի կազմակերպում</t>
  </si>
  <si>
    <t xml:space="preserve"> 11011</t>
  </si>
  <si>
    <t xml:space="preserve"> Պետական բյուջետային ծրագրերի գնահատում</t>
  </si>
  <si>
    <t xml:space="preserve"> 12001</t>
  </si>
  <si>
    <t xml:space="preserve"> Դատական ակտերի հիման վրա ՀՀ պետական բյուջեից բռնագանձման ենթակա գումարների վճարում</t>
  </si>
  <si>
    <t xml:space="preserve"> 1137</t>
  </si>
  <si>
    <t xml:space="preserve"> Գնումների գործընթացի կարգավորում և համակարգում</t>
  </si>
  <si>
    <t xml:space="preserve"> Էլեկտրոնային գնումների համակարգի տեխնիկական սպասարկում</t>
  </si>
  <si>
    <t>Հաշվարկի համար հիմք է ընդունվել նախորդ տարվա ընթացքում նշված ծառայությունների ձեռք բերման նպատակով կնքված պայմանագրի գինը</t>
  </si>
  <si>
    <t xml:space="preserve"> Գնումների պլանների կազմման, էլեկտրոնային մրցույթների անցկացման, պայմանագրերի կատարման և գնումների հաշվետվողականության` միմյանց ինտեգրված մոդուլների տեխնիկական սպասարկում</t>
  </si>
  <si>
    <t xml:space="preserve"> ՀՀ ֆինանսների նախարարության տեխնիկական հագեցվածության բարելավում</t>
  </si>
  <si>
    <t>Մ-4048-2024</t>
  </si>
  <si>
    <t>Մ-4076-2024</t>
  </si>
  <si>
    <t>Առաջարկություններ չկան:</t>
  </si>
  <si>
    <t>Պետական պահպանության ծառայություններ</t>
  </si>
  <si>
    <t>ՊՊԾ տրանսպորտային միջոցներով ապպահովվածության բարելավում</t>
  </si>
  <si>
    <t>ՊՊԾ տեխնիկական հագեցվածության բարելավում</t>
  </si>
  <si>
    <t>Նախագծահետազոտական փաստաթղթերի կազմման աշխատանքներ</t>
  </si>
  <si>
    <t>Պետական պահպանության ծառայության շենքային ապահովվածության բարելավում</t>
  </si>
  <si>
    <t>Մ-4096-2024</t>
  </si>
  <si>
    <t xml:space="preserve"> ՀՀ Սյունիքի  մարզպետի աշխատակազմի կողմից տարածքային պետական կառավարման ապահովում</t>
  </si>
  <si>
    <t xml:space="preserve"> ՀՀ Սյունիքի մարզպետի աշխատակազմի տեխնիկական հագեցվածության բարելավում</t>
  </si>
  <si>
    <t xml:space="preserve"> ՀՀ Սյունիքի մարզում տարածքային պետական կառավարում</t>
  </si>
  <si>
    <t>Մ-4089-2024</t>
  </si>
  <si>
    <t>Ավելացումը պայմանավորված է գնային և ոչ գնային գործոնների ազդեցությամբ ծրագրի/միջոցառումերի գծով ծախսերի ավելացմամբ:</t>
  </si>
  <si>
    <t>Ընդհանուր և լրատվական ուղղվածության հեռուստատեսային ծառայություններ</t>
  </si>
  <si>
    <t>Ռադիո ծառայություններ</t>
  </si>
  <si>
    <t>Հայաստանի հանրային ռադիոընկերություն ՓԲԸ-ի թվով 277 աշխատակիցների բժշկական ապահովագրության նախատեսում՝յուրաքանչյուրը տարեկան 100 հազար ՀՀ դրամ, որի վրա հաշվարկվում է նաև ԱԱՀ:Ընդհանուր գումարը կկազմի 33240 հազ. ՀՀ դրամ՝ներառյալ ԱԱՀ:</t>
  </si>
  <si>
    <r>
      <t xml:space="preserve">2025-2027թթ ընթացիկ ֆինանսավորման գծով գումարի ավելացումը կազմում է տարեկան </t>
    </r>
    <r>
      <rPr>
        <b/>
        <sz val="11"/>
        <color theme="1"/>
        <rFont val="GHEA Grapalat"/>
        <family val="3"/>
      </rPr>
      <t xml:space="preserve">249300 ՀՀ դրամ, ներառյալ ԱԱՀ </t>
    </r>
    <r>
      <rPr>
        <sz val="11"/>
        <color theme="1"/>
        <rFont val="GHEA Grapalat"/>
        <family val="3"/>
      </rPr>
      <t xml:space="preserve">ինչը ներառում է. </t>
    </r>
    <r>
      <rPr>
        <b/>
        <sz val="11"/>
        <color theme="1"/>
        <rFont val="GHEA Grapalat"/>
        <family val="3"/>
      </rPr>
      <t>1.Հեռարձակման ծախսերի գումարի ավելացումը՝տարեկան 64800 հազ. Դրամ(ներառյալ ԱԱՀ</t>
    </r>
    <r>
      <rPr>
        <sz val="11"/>
        <color theme="1"/>
        <rFont val="GHEA Grapalat"/>
        <family val="3"/>
      </rPr>
      <t>), ինչը պայմանավորված է այն հանգամանքով  որ Առաջինի լրատվական ալիքը, որը ներկայումս ունի միայն մայրաքաղաքային սփռում, նախատեսվում է հեռարձակել ողջ հանրապետության տարածքում՝ հաշվի առնելով վերջինիս զգալի դիտողականությունը։ Մայրաքաղաքային սփռման շրջանակներում հեռարձակման տարեկան ծախսը կազմում է 18,000.0 հազ. դրամ, իսկ հանրապետական սփռման գծով հեռարձակման տարեկան ծախսը՝ 72,000.0 հազ. դրամ։ Ուստի Առաջինի լրատվական ալիքի հանրապետական սփռման նպատակով կանխատեսվող լրացուցիչ ծախսը կկազմի 54,000.0 հազ. դրամ, իսկ ՀՀ պետական բյուջեից հատկացման դեպքում՝ 64,800.0 հազ. դրամ, ներառյալ ԱԱՀ:</t>
    </r>
    <r>
      <rPr>
        <b/>
        <sz val="11"/>
        <color theme="1"/>
        <rFont val="GHEA Grapalat"/>
        <family val="3"/>
      </rPr>
      <t xml:space="preserve"> 2.Հեռարձակման ծախսերի գումարի ավելացում՝ տարեկան 184,500.0 հազ. դրամ, ներառյալ ԱԱՀ</t>
    </r>
    <r>
      <rPr>
        <sz val="11"/>
        <color theme="1"/>
        <rFont val="GHEA Grapalat"/>
        <family val="3"/>
      </rPr>
      <t>, ինչը պայմանավորված է Հանրային հեռուստաընկերության կողմից ստեղծվող «Առաջին ալիք Ամերիկա» հեռուստաալիքը ԱՄՆ Կալիֆորնիա նահանգում գործող հայտնի «Սպեկտրում» կաբելային ցանցում ընդգրկելու և հեռարձակելու ծախսերի կանխատեսմամբ։ Նոր հեռուստաալիքի կոնտենտը նախատեսվում է կազմել Առաջին ու Առաջինի լրատվական ալիքի համար պատրաստվող և ձեռքբերվող հաղորդումներից: Սույն մալուխային ցանցում հեռուստաալիքի հեռարձակման գծով անդամակցության ամսավճարը կազմում է 31 250 ԱՄՆ դոլար, ինչը ներառում է 25 000 ԱՄՆ դոլար անդամակցության վճարը և 6 250 ԱՄՆ դոլար` ոչ ռեզիդենտի շահութահարկը, ինչը ՀՀ հարկային օրենսգրքի համաձայն ենթակա է վճարման ՀՀ պետական բյուջե: Տարեկան գումարը կկազմի 375 000 ԱՄՆ դոլար՝ 153,750,0 հազ. դրամ, իսկ ՀՀ պետական բյուջեից հատկացման դեպքում գումարը կկազմի 184,500.0 հազ. դրամ, ներառյալ ԱՍՀ:</t>
    </r>
  </si>
  <si>
    <t>Մ-4115-2024</t>
  </si>
  <si>
    <t>550651.4</t>
  </si>
  <si>
    <t>Գործադիր իշխանության, պետական կառավարման հանրապետական և տարածքային կառավարման մարմինների կարողությունների զարգացում</t>
  </si>
  <si>
    <t xml:space="preserve"> ՀՀ Արագածոտնի մարզում տարածքային պետական կառավարում</t>
  </si>
  <si>
    <t>Մ-4110-2024</t>
  </si>
  <si>
    <t>Անշարժ գույքի կադաստրի վարման բնագավառում պետական քաղաքականության իրականացում</t>
  </si>
  <si>
    <t>Գույքի նկատմամբ իրավունքների պետական գրանցում,գույքի և դրա նկատմամբ գրանցված իրավունքների և սահմանափակումների վերաբերյալ տեղեկատվության տրամադրում</t>
  </si>
  <si>
    <t xml:space="preserve">Կադաստրի կոմիտեի շենքային ապահովվածության բարելավում </t>
  </si>
  <si>
    <t>Արտապատվիրակված նախագծանախահաշվային փաստաթղթեր</t>
  </si>
  <si>
    <t>ՀՀ կադաստրի կոմիտեի տեխնիկական հագեցվածության բարելավում</t>
  </si>
  <si>
    <t>ՀՀ կառավարության 2021 թվականի նոյեմբերի 18-ի           N 1902 -Լ որոշում</t>
  </si>
  <si>
    <t>ՀՀ կադաստրի կոմիտեի ծառայությունների մատուցման համար ոչ նյութական հիմնական միջոցների ձեռքբերում</t>
  </si>
  <si>
    <t>ՀՀ կառավարության 2021 թվականի նոյեմբերի 18-ի           N 1902 -Լ որոշում, իրականացված գնային հարցումներ</t>
  </si>
  <si>
    <t>Թեմատիկ քարտեզագրության բնագավառում  նախատեսվող աշխատանքներ</t>
  </si>
  <si>
    <t>գնման ընթացակարգ</t>
  </si>
  <si>
    <t>ՀՀ օրթոֆոտոհատակագծերով ծածկված համայնքների կադաստրային թաղամասերի ճշգրտման աշխատանքներ</t>
  </si>
  <si>
    <t>Համաձայն ներկայացված ծրագրի</t>
  </si>
  <si>
    <t xml:space="preserve">Կադաստրային քարտեզներում  համայնքների վարչական սահմանների, կադաստրային թաղամասերի տեղադիրքի և 
սահմանների ուղղման նպատակով լրացուցիչ կետերի դիտարկման աշխատանքներ
</t>
  </si>
  <si>
    <t xml:space="preserve">Պետական բարձունքային I դասի ցանցի վերադիտարկման և արդիականացման աշխատանքների </t>
  </si>
  <si>
    <t>Թվային արխիվի
ամբողջականացման և
ընթեռնելիության բարձրացման աշխատանքներ</t>
  </si>
  <si>
    <t>Համագործակցություն ոլորտային կրթական ծրագրերի իրականացնող բուհերի հետ, կրթական ծրագրերի վերանայում, լաբարատորիաների ստեղծում</t>
  </si>
  <si>
    <t>Մ-4116-2024</t>
  </si>
  <si>
    <t>ՀՀ վարչապետին ՀՀ Սահմանադրությամբ և օրենքներով վերապահված վերահսկողական լիազորությունների իրականացման ապահովում</t>
  </si>
  <si>
    <t>Հաշվարկները կատարվել են՝ համաձայն ՀՀ ֆինանսների նախարարության կողմից նախկին տարիներին տրամադրված մեթոդական ցուցումների:</t>
  </si>
  <si>
    <t>ՀՀ պետական վերահսկողական ծառայության տեխնիկական հագեցվածության բարելավում</t>
  </si>
  <si>
    <t>Հաշվարկները կատարվել են՝ համաձայն ՀՀ ֆինանսների նախարարության կողմից նախկին տարիներին տրամադրված մեթոդական ցուցումների, հաշվի առնելով աշխատակիցների համար օգտակար ծառայության ժամկետում գտնվող վարչական սարքավորումների 70% հագեցվածության ապահովման  սկզբունքը:</t>
  </si>
  <si>
    <t xml:space="preserve"> Պետական վերահսկողական ծառայություններ</t>
  </si>
  <si>
    <t>Մ-4294-2024</t>
  </si>
  <si>
    <t xml:space="preserve"> Հանրային ծառայությունների ոլորտում կարգավորման իրականացում</t>
  </si>
  <si>
    <t xml:space="preserve"> Էներգետիկայի բնագավառում նախորդ տարվա ընթացքում իրականացված ներդրումների տեխնիկական աուդիտի իրականացում</t>
  </si>
  <si>
    <t xml:space="preserve">ՀՀ հանրային ծառայությունները կարգավորող հանձնաժողովն իրականացնում է միայն «Հանրային ծառայությունների ոլորտի կարգավորում» ծրագիրը: Նշված ծրագրով ներկայացվում է հանձնաժողովի պահպանման ծախսերի մեծությունը, որը ձևավորվում  է «Հանրային ծառայությունները կարգավորող մարմնի մասին» օրենքի 38-րդ հոդվածի համաձայն: Ընդ որում, նշված ծրագրով նախատեսված միջոցները (հանձնաժողովի պահպանման ծախսերը) գոյանում են կարգավորվող անձանց կողմից պետական բյուջե վճարվող կարգավորման պարտադիր վճարների հաշվին: </t>
  </si>
  <si>
    <t xml:space="preserve"> Հանրային ծառայությունները կարգավորող հանձնաժողովի տեխնիկական հագեցվածության բարելավում</t>
  </si>
  <si>
    <t xml:space="preserve"> Հանրային ծառայությունները կարգավորող հանձնաժողովի տրանսպորտային միջոցներով ապահովվածության բարելավում</t>
  </si>
  <si>
    <t>-</t>
  </si>
  <si>
    <t xml:space="preserve"> Հանրային ծառայությունները կարգավորող հանձնաժողովի շենքի պայմանների բարելավում</t>
  </si>
  <si>
    <t xml:space="preserve">Հանձնաժողովին ամրակցված շենքը (հասցե՝ Սարյան 22) օտարվել է: Հաշվի առնելով վերոնշյալը՝ հանձնաժողովին առաջարկվել է տեղափոխվել այլ շենք (հասցե՝ Գ. Նժդեհի 20): Տեղափոխման   ժամկետը դեռևս հստակեցված չէ, քանի որ շենքը երկար տարիներ չի շահագործվել և կապիտալ վերանորոգման կարիք ունի: Ուստի, վերջինիս վերանորոգման համար կարող են պահանջվել լրացուցիչ ֆինանսական միջոցներ: </t>
  </si>
  <si>
    <t xml:space="preserve"> Հանրային ծառայությունների ոլորտի կարգավորում</t>
  </si>
  <si>
    <t>Մ-4336-2024</t>
  </si>
  <si>
    <t xml:space="preserve"> 1043</t>
  </si>
  <si>
    <t xml:space="preserve"> Մասնագետների պատրաստման ԲՈՒՀ-մասնավոր հատված համագործակցություն </t>
  </si>
  <si>
    <t>Նախատեսվում է հաջորդ տարիների ընթացքում պահել 2024 թ. բյուջետային հայտով նախատեսված ծախսերի համամասնությունները:</t>
  </si>
  <si>
    <t xml:space="preserve"> Շուկաների զարգացում և միջազգային համագործակցություն</t>
  </si>
  <si>
    <t>Գնահատականները տրվել են հաշվի առնվելով միջոցառումների իրագործման վերջին 3 տարիների միտումներն ու պլանավորվող նոր միջոցառումների անցկացումը։</t>
  </si>
  <si>
    <t xml:space="preserve"> Ձեռներեցության տեխնոլոգիական էկոհամակարգ</t>
  </si>
  <si>
    <t>Նախատեսվում է ամեն հաջորդ տարի բյուջեն ավելացնել 20%-ով:</t>
  </si>
  <si>
    <t xml:space="preserve">  Համաշխարհային բանկի աջակցությամբ իրականացվող առևտրի և ենթակառուցվածքների զարգացման ծրագիր</t>
  </si>
  <si>
    <t xml:space="preserve"> 11020</t>
  </si>
  <si>
    <t xml:space="preserve"> Թվային ծառայությունների ձեռքբերում</t>
  </si>
  <si>
    <t xml:space="preserve"> 1100</t>
  </si>
  <si>
    <t xml:space="preserve"> Բարձր տեխնոլոգիաների, ռազմարդյունաբերության, թվայնացման, կիբեռանվտանգության, ինովացիոն տեխնոլոգիաների, կապի, փոստի, համացանցի և տիեզերական  բնագավառներում պետական քաղաքականության մշակում,  ծրագրերի համակարգում և մոնիտորինգ</t>
  </si>
  <si>
    <t xml:space="preserve"> 11005</t>
  </si>
  <si>
    <t xml:space="preserve"> Ռազմարդյունաբերության բնագավառում պետական քաղաքականության մշակում խորհրդատվական, մոնիտորինգի և աջակցության ծառայություններ, ծրագրերի համակարգում</t>
  </si>
  <si>
    <t xml:space="preserve"> 1164</t>
  </si>
  <si>
    <t xml:space="preserve"> Հեռահաղորդակցության և կապի կանոնակարգում</t>
  </si>
  <si>
    <t xml:space="preserve"> Թվային հեռուստահեռարձակման ապահովման ծառայություններ</t>
  </si>
  <si>
    <t xml:space="preserve"> Տվյալների փոխանակման միջգերատեսչական կապի ապահովում</t>
  </si>
  <si>
    <t xml:space="preserve"> 1220</t>
  </si>
  <si>
    <t xml:space="preserve"> Ռազմական նշանակության հատուկ գիտահետազոտական և փորձակոնստրուկտորական աշխատանքներ</t>
  </si>
  <si>
    <t>Հիմնավորումները կներկայացվեն բյուջետային հայտերի ներկայացման ընթացքում:</t>
  </si>
  <si>
    <t xml:space="preserve"> Տակտիկատեխնիկական առաջադրանքների կազմում</t>
  </si>
  <si>
    <t xml:space="preserve"> Փորձանմուշների արտադրություն</t>
  </si>
  <si>
    <t xml:space="preserve"> Ռազմարդյունաբերության ոլորտի նեղ մասնագիտական կադրերի ուսուցում և վերապատրաստում</t>
  </si>
  <si>
    <t xml:space="preserve"> 31003</t>
  </si>
  <si>
    <t xml:space="preserve"> Համաշխարհային բանկի աջակցությամբ իրականացվող առևտրի և ենթակառուցվածքների զարգացման ծրագրի շրջանակներում շենքերի և շինությունների շինարարություն և հիմնանորոգում</t>
  </si>
  <si>
    <t xml:space="preserve"> 31004</t>
  </si>
  <si>
    <t xml:space="preserve">  Համաշխարհային բանկի աջակցությամբ իրականացվող առևտրի և ենթակառուցվածքների զարգացման ծրագրի շրջանակներում սարքավորումների ձեռքբերում</t>
  </si>
  <si>
    <t xml:space="preserve"> 32001</t>
  </si>
  <si>
    <t xml:space="preserve"> Այլ պետական մարմնի կարողությունների զարգացում, տեխնիկական հագեցվածության ապահովում</t>
  </si>
  <si>
    <t xml:space="preserve"> ՀՀ տարածքում բազային և շարժական ռադիոմոնիտորինգի համակարգի ներդրում</t>
  </si>
  <si>
    <t xml:space="preserve"> 1235</t>
  </si>
  <si>
    <t xml:space="preserve"> Միասնական թվային միջավայրի ձևավորում</t>
  </si>
  <si>
    <t>Բարձր տեխնոլոգիական արդյունաբերության էկոհամակարգի, թվայնացման և շուկայի զարգացման ծրագիր</t>
  </si>
  <si>
    <t xml:space="preserve"> Բարձր տեխնոլոգիական արդյունաբերության բնագավառում պետական քաղաքականության մշակում, ծրագրերի համակարգում և մոնիտորինգ</t>
  </si>
  <si>
    <t xml:space="preserve"> Հեռահաղորդակցության ապահովում</t>
  </si>
  <si>
    <t xml:space="preserve">Ռազմարդյունաբերության համալիրի զարգացում </t>
  </si>
  <si>
    <t>Միասնական թվային միջավայրի ձևավորում</t>
  </si>
  <si>
    <t>Մ-4181-2024</t>
  </si>
  <si>
    <t>Հաշվարկները կատարվել են հաշվի առնելով զորամասերի տեղակայման վայրերի փոփոխությունները, 2024թ. ծրագրում չներառված, սակայն ներառման ենթակա շինարարական օբյեկտների արժեքները:                                          Հաշվարկման համար հիմք է հանդիսացել նաև ստանձնված պարտավորությունները, զինված ուժերի բնականոն գործունեության պահպանման ծախսերը:</t>
  </si>
  <si>
    <t xml:space="preserve"> Կոռուպցիոն հանցագործությունների բացահայտման և քննության ապահովում</t>
  </si>
  <si>
    <t>ՀՀ հակակոռուպցիոն կոմիտեի շենքային պայմանների ապահովում և բարելավում</t>
  </si>
  <si>
    <t xml:space="preserve">Հիմք՝ ՀՀ քաղաքաշինության կոմիտեի կողմից իրականացված՝ ՀՀ հակակոռուպցիոն կոմիտեին հատկացված ք. Երևան, Հ. Արղության փող. 2-րդ նրբ.10 հասցեում գտնվող շենքերի և շինությունների վերակառուցման աշխատանքների խոշորոցված ծախսերի հաշվարկ:                                                   Ըստ հաշվարկի՝ խոշորացված ծախսերը կազմում են 1 243 223,0 հազ. դրամ, որից նախագծման և նախագծանախահաշվային փաստաթղթերի պարտադիր փորձաքննության արժեքը կազմում է 40950հազ. դրամ, որը նախատեսվել է 2024թ. պետական բյուջեով, իսկ 4541,7 քմ տարածքի վերակառուցման աշխատանքների ընդհանուր արժեքը կազմում է 1202273,0 հազ. դրամ, որն էլ նախատեսվում է 2025թ-ին: </t>
  </si>
  <si>
    <t>Մ-4102-2024</t>
  </si>
  <si>
    <t>Մ-4374-2024</t>
  </si>
  <si>
    <t xml:space="preserve"> Արտաքին գործերի ոլորտում Կառավարության քաղաքականության մշակում և իրականացում</t>
  </si>
  <si>
    <t>Հնդկաստանի "Ռաիսինա միջազգային երկխոսություն" միջազգային հարթակի հետ համատեղ 2024թ. աշնանը "Երևան երկխոսություն" միջազգային համաժողովի կազմակերպում: Միջոցառումը նախատեսվում է անցկացնել 2025-ին և 2027թ-ին.՝ յուրաքանչյուր տարվա ծախսը կկազմի 1 մլն. դոլարին համարժեք դրամ:</t>
  </si>
  <si>
    <t>«Ընդդեմ ցեղասպանության հանցագործության» գլոբալ ֆորում</t>
  </si>
  <si>
    <t>Հայաստանի Հանրապետությունում միջազգային  նշանակության համաժողովների և այլ միջոցառումների  կազմակերպում- Հայ-հնդկական հարաբերություններ</t>
  </si>
  <si>
    <t xml:space="preserve"> Կառավարության արտաքին քաղաքականության մշակում և իրագործման ապահովում</t>
  </si>
  <si>
    <t>Երևանում «Ընդդեմ ցեղասպանության հանցագործության» ֆորումը անցկացվում է երկու տարին մեկ անգամ: 2024թ. համար հատկացվել է 100.0 հազ. դրամ: Հաջորդ միջոցառումը նախատեսվում է անցկացնել 2026թ.-ին:</t>
  </si>
  <si>
    <t xml:space="preserve"> Օտարերկրյա պետություններում ՀՀ դիվանագիտական ծառայության մարմինների գործունեության կազմակերպում և իրականացում</t>
  </si>
  <si>
    <t xml:space="preserve"> Օտարերկրյա պետություններում և միջազգային կազմակերպություններում հավատարմագրված ՀՀ դիվանագիտական ծառայության մարմինների գործունեության իրականացում</t>
  </si>
  <si>
    <t>ՀՀ դեսպանությունների, մշտական ներկայացուցչությունների և հյուպատոսական հիմնարկների կողմից պարտադիր պայմանագրային պարտավորությունները կատարելու նպատակով ներկայացվել են առաջարկություններ պահպանպան ծախսերը շուրջ  759.3 մլն դրամով ավելացնելու վերաբերյալ, որը իր մեջ ներառում է ծառայողական շենքի ու բնակարանների վարձավճարների, պահպանման այլ ծախսերի և   վարչատնտեսական աշխատողների աշխատավարձերի ավելացում: Ավտոպարկի թարմացման ծրագիրը նախատեսում է յուրաքանչյուր տարի 7 հին մեքենաները նորով փոխարինելու գործընթաց: Նախատեսվում է բացել ՀՀ դեսպանություններ՝ 2025թ-ին Հարավաֆրիկյան Հանրապետությունում, իսկ 2026թ-ի Թունիսի Հանրապետությունում և Ավստրալիայում:</t>
  </si>
  <si>
    <t>Արտաքին գործերի նախարարության կարողությունների զարգացում և տեխնիկական հագեցվածության ապահովում</t>
  </si>
  <si>
    <t>ԱԳՆ համակարգի ավտոպարկի թարմացում</t>
  </si>
  <si>
    <t xml:space="preserve">ԱԳ նախարարության ամրացված տրանսպորտային միջոցներից հինգի շահագործման 10 տարին լրացել է: Նախատեսվում է ձեռք բերել 5 հատ նոր սեդան տիպի էլեկրոմոբիլներ՝ յուրաքանչյուրը մոտ 15000.0 հազ. դրամ գումարով: </t>
  </si>
  <si>
    <t>Մեծ նվաճումների սպորտ</t>
  </si>
  <si>
    <t xml:space="preserve">ՀՀ առաջնություններին և միջազգային միջոցառումներին մասնակցության ապահովման համար մարզիկների նախապատրաստում և առաջնությունների անցկացում 
</t>
  </si>
  <si>
    <t xml:space="preserve">ՀՀ հավաքական թիմերին մարզահագուստով և մարզահանդերձանքով ապահովում </t>
  </si>
  <si>
    <t xml:space="preserve">Ադապտիվ սպորտին առնչվող ծառայություններ 
</t>
  </si>
  <si>
    <t>Նախատեսված է պարալիմպիկ խաղերի մասնակցություն, ինչով պայմանավորված է բյուջեով լրացուցիչ գումարի անհրաժեշտությունը</t>
  </si>
  <si>
    <t xml:space="preserve"> Աջակցություն հայկական կոխ ըմբշամարտ մարզաձևի զարգացմանը </t>
  </si>
  <si>
    <t xml:space="preserve"> Նավամոդելային սպորտի զարգացում </t>
  </si>
  <si>
    <t xml:space="preserve"> Շախմատիստների պատրաստման ծառայություններ </t>
  </si>
  <si>
    <t xml:space="preserve"> Ձմեռային պատանեկան օլիմպիական խաղերին  Հայաստանի մարզական պատվիրակության մասնակցության ապահովում</t>
  </si>
  <si>
    <t xml:space="preserve"> Ամառային օլիմպիական խաղերին Հայաստանի մարզական պատվիրակության մասնակցության ապահովում</t>
  </si>
  <si>
    <t xml:space="preserve"> Եվրոպական օլիմպիական խաղերին Հայաստանի մարզական պատվիրակության մասնակցության ապահովում</t>
  </si>
  <si>
    <t xml:space="preserve">Եվրոպայի երիտասարդության օլիմպիական փառատոներին մասնակցության ապահովում
</t>
  </si>
  <si>
    <t xml:space="preserve"> Ձմեռային օլիմպիական խաղերին Հայաստանի մարզական պատվիրակության մասնակցության  ապահովում </t>
  </si>
  <si>
    <t>Ամառային պատանեկան օլիմպիական խաղերին Հայաստանի մարզական պատվիրակության մասնակցությանն  ապահովում</t>
  </si>
  <si>
    <t xml:space="preserve"> ՀՀ հանրակրթական, միջին մասնագիտական և  բարձրագույն ուսումնական հաստատություններին, ինչպես նաև մանկապատանեկան մարզադպրոցներին, մարզաձևերի ազգային ֆեդերացիաներին և այլ մարզական հասարակական կազմակերպություններին գույքով ապահովում
</t>
  </si>
  <si>
    <t xml:space="preserve"> Ֆրանկոֆոնիայի մարզամշակութային խաղերին Հայաստանի մարզական պատվիրակության մասնակցության ապահովում </t>
  </si>
  <si>
    <t xml:space="preserve"> Հայաստանի Հանրապետության հակադոպինգային ծրագրերի մշակում և իրականացում</t>
  </si>
  <si>
    <t>ՀՀ հավաքական թիմերի մարզիկների ֆունկցիոնալ վիճակի արդյունավետության բարձրացման նպատակով վիտամինիզացիայի և չարգելված սպորտային հավելյալ սնունդով ապահովում</t>
  </si>
  <si>
    <t>ՀՀ հավաքական թիմերի մարզիկների արդյունավետության բարձրացում</t>
  </si>
  <si>
    <t>Երևանում կայանալիք շախմատային միջազգային վարկանիշային մրցաշարերի կազմաերպում</t>
  </si>
  <si>
    <t xml:space="preserve"> ԱՊՀ երկրների երկրորդ մարզական խաղերին  ՀՀ մարզական պատվիրակության մասնակցության ապահովում	</t>
  </si>
  <si>
    <t xml:space="preserve"> Երևանում կայանալիք ծանրամարտի մեծահասկների Եվրոպայի առաջնության անցկացում</t>
  </si>
  <si>
    <t>Միջազգային մրցաշարերին մասնակցության և մասնագիտական մարզահագուստով ապահովման նպատակով մարզական ֆեդերացիաներին լրացուցիչ աջակցության հատկացում</t>
  </si>
  <si>
    <t>Երևանում կայանալիք սամբոյի մեծահասակների աշխարհի առաջնության անցակցում</t>
  </si>
  <si>
    <t xml:space="preserve"> Հայաստանում կազմակերպվող աշխարհի, Եվրոպայի առաջնությունների, միջազգային համաժողովների կազմակերպում, անցկացում</t>
  </si>
  <si>
    <t>Երևանում կայանալիք բռնցքամարտի աշխարհի ավագ տարիքի պատանիների առաջնության անցկացում</t>
  </si>
  <si>
    <t xml:space="preserve"> 12001 </t>
  </si>
  <si>
    <t xml:space="preserve"> Միջազգային մարզական միջոցառումների հաղթողներին և մրցանակակիրներին դրամական մրցանակների հանձնում</t>
  </si>
  <si>
    <t xml:space="preserve"> 12002 </t>
  </si>
  <si>
    <t xml:space="preserve"> ՀՀ հավաքական թիմերի գլխավոր և ավագ մարզիչների վարձատրություն և աշխարհի չեմպիոններին, օլիմպիական խաղերի և շախմատի համաշխարհային օլիմպիադայի մրցանակակիրներին պատվովճարի հատկացում </t>
  </si>
  <si>
    <t xml:space="preserve"> 12003 </t>
  </si>
  <si>
    <t xml:space="preserve"> Օլիմպիական խաղերում՝ աշխարհի և Եվրոպայի առաջնություններում բարձր արդյունքների հասած ՀՀ հավաքական թիմերի մարզիկներին և նրանց մարզիչներին  անվանական թոշակի հատկացում </t>
  </si>
  <si>
    <t xml:space="preserve"> 12006</t>
  </si>
  <si>
    <t xml:space="preserve"> ՀՀ «Տարվա լավագույն մարզիկներ» մրցույթի կազմակերպում, անցկացում և հաղթող ճանաչված մարզիկների պարգևատրում</t>
  </si>
  <si>
    <t xml:space="preserve">Ամառային օլիմպիական խաղերին նախապատրաստվելու նպատակով ֆինանսական աջակցության տրամադրում
</t>
  </si>
  <si>
    <t>Նոր</t>
  </si>
  <si>
    <t xml:space="preserve">Վոլեյբոլի մինչև 17 տարեկան տղաների Եվոպայի առաջնության անցկաման ապահովում </t>
  </si>
  <si>
    <t>Բարձրակարգ մարզիկների անվան բրենդավորում</t>
  </si>
  <si>
    <t xml:space="preserve">Սպորտային մարմնամարզության մեծահասակների Եվրոպայի առաջնության անցկացման ապահովում </t>
  </si>
  <si>
    <t>Հայաստանում կազնակերպվող աշխարհի և Եվրապայի առաջնությունների, միջազգային համաժողովների կազմկերպում և անցկացում</t>
  </si>
  <si>
    <t>Սպորտի թանգարանի ստեղծում</t>
  </si>
  <si>
    <t>Ֆիզիկական կուլտուրայի և սպորտի բնագավառում տվյալների բազայի կառավարման համակարգի ստեղծում՝ տվյալների հավաքագրման  և կառավարման գործընթացի թվայնացում և դրա միջոցով վարչական ռեգիստրի վարում</t>
  </si>
  <si>
    <t>Հենակետային մարզաձևերի մրցավարների գործուղում միջազգային վերապատրաստման դասընթացների</t>
  </si>
  <si>
    <t>Հենակետային մարզաձևերի ֆեդերացիաների ներկայացուցիչների ակտիվ մասնակցության ապահովում միջազգային ֆեդերացիաների կողմից կազմակերպվող բազմաբնույթ միջոցառումներին</t>
  </si>
  <si>
    <t>Բարձրագույն նվաճումներ ունեցող մարզիկների, մարզիչների, բնագավառի բազմավաստակ աշխատակիցների խրախուսում</t>
  </si>
  <si>
    <t xml:space="preserve">Բասկետբոլի մինչև 20 տարեկանների Եվրոպայի  /Բ/ դիվիզիոնի առաջնության անցկացման ապահովում </t>
  </si>
  <si>
    <t xml:space="preserve">Սուսերամարտի Երիտասարդների և պատանիների Եվրոպայի առաջնության անցկացման ապահովում </t>
  </si>
  <si>
    <t xml:space="preserve"> Հոկեյ /Դ/ դիվիզիոնի առաջնության անցկացման ապահովում </t>
  </si>
  <si>
    <t xml:space="preserve">Կարատեի մեծահասակների Եվրոպայի առաջնության անցկացման ապահովում </t>
  </si>
  <si>
    <t xml:space="preserve">Բռնցքամարտի աշխարհի մեծահասակների առաջնության անցկացում
</t>
  </si>
  <si>
    <t>Երևանում կայանալիք հրաձգության մեծահասակների Եվրոպայի   առաջնության անցկացում</t>
  </si>
  <si>
    <t>Նախնական (արհեստագործական) և միջին մասնագիտական կրթություն</t>
  </si>
  <si>
    <t xml:space="preserve"> Միջին մասնագիտական կրթության որակի ապահովման ծառայություններ</t>
  </si>
  <si>
    <t xml:space="preserve">Ուժեղացնել գենդերային հավասարությունը զբաղվածության մեջ որպես տեղական ինքնակառավարման մակարդակ </t>
  </si>
  <si>
    <t xml:space="preserve">«Թեժ Խոհանոց» </t>
  </si>
  <si>
    <t xml:space="preserve"> Նախնական մասնագիտական (արհեստագործական) կրթություն ստացող ուսանողների կրթաթոշակ</t>
  </si>
  <si>
    <t>Միջին մասնագիտական կրթություն ստացող ուսանողների կրթաթոշակ</t>
  </si>
  <si>
    <t xml:space="preserve">Նախնական մասնագիտական (արհեստագործական) կրթության գծով ուսանողական նպաստների տրամադրում </t>
  </si>
  <si>
    <t>Միջին մասնագիտական կրթության գծով ուսանողական նպաստների տրամադրում</t>
  </si>
  <si>
    <t xml:space="preserve"> ՆՄՄԿ ուսումնական հաստատությունների մանկավարժական աշխատողների ատեստավորման համակարգի ներդրում` ուղղված մանկավարժական աշխատողների որակի և վարձատրության բարձրացմանը</t>
  </si>
  <si>
    <t xml:space="preserve"> Մարզերում գործող նախնական և միջին մասնագիտական կրթության  ուսումնական հաստատությունների սովորողների և մանկավարժական աշխատողների տրանսպորտային ծախսերի փոխհատուցում</t>
  </si>
  <si>
    <t>Ռազմավարություն</t>
  </si>
  <si>
    <t>Կամավոր ատեստավորման համակարգի ներդրում՝ուղղված նախնական մասնագիտական (արհեստագործական) և միջին մասնագիտական ուսումնական հաստատությունների հանրակրթական առարկաներ դասավանդող մանկավարժական աշխատողների որակի բարձրացմանը</t>
  </si>
  <si>
    <t>Ռազմավարություն
Կառավարության ծրագիր</t>
  </si>
  <si>
    <t>2023 թվականի սեպտեմբերի 19-ից հետո Լեռնային Ղարաբաղից բռնի տեղահանված և ՀՀ-ում նախնական  մասնագիտական (արհեստագործական) կրթություն ստացող ուսանողներին ուսման վարձի փոխհատուցման նպատակով կրթաթոշակի տրամադրում</t>
  </si>
  <si>
    <t>2023 թվականի սեպտեմբերի 19-ից հետո Լեռնային Ղարաբաղից բռնի տեղահանված և ՀՀ-ում միջին մասնագիտական կրթություն ստացող ուսանողներին ուսման վարձի լրիվ կամ մասնակի փոխհատուցման նպատակով կրթաթոշակի տրամադրում</t>
  </si>
  <si>
    <t xml:space="preserve">Լեռնային Ղարաբաղից բռնի տեղահանված ընտանիքների Հայաստանի Հանրապետության նախնական (արհեստագործական) և միջին մասնագիտական կրթական ծրագրեր իրականացնող ուսումնական հաստատություններում սովորող ուսանողների ուսման վարձի փոխհատուցում
</t>
  </si>
  <si>
    <t xml:space="preserve">ՆՄՄԿ ուսումնական հաստատությունների ատեստավորման ենթակա մանկավարժական աշխատողների վերապատրաստում </t>
  </si>
  <si>
    <t>ՆՄՄԿ ուսումնական հաստատությունների մանկավարժական աշխատողների տարակարգի շնորհման արդյունքում հավելավճարի տրամադրում</t>
  </si>
  <si>
    <t>Աշխատանքի վրա հիմնված (ԱՀՈՒ,դուալ) ուսուցման կրթական ծրագրերի մշակում և ներդնում ՆՄՄԿ ուսումնական հաստատություններում</t>
  </si>
  <si>
    <t>ՆՄՄԿ ուսումնական հաստատություններում գործնական դասավանդման գործընթացում մասնավոր կազմակերպությունների մասնագետների ներգրավման համար  մեխանիզմների մշակում</t>
  </si>
  <si>
    <t xml:space="preserve">ՆՄՄԿ ուսումնական հաստատություններում գործնական դասավանդման գործընթացում մասնավոր կազմակերպությունների մասնագետների ներգրավում </t>
  </si>
  <si>
    <t>ՆՄՄԿ հաստատությունների՝ մասնավոր ոլորտի հետ համատեղ կառավարման ձևաչափերի ներդնում</t>
  </si>
  <si>
    <t>Օտար լեզուներ (բացառությամբ ռուսերեն լեզվի) դասավանդող մանկավարժական կազմի կարողությունների հզորացում, կատարելագործում, ուսումնական նյութերի արդիականացում</t>
  </si>
  <si>
    <t>Կառավարության ծրագիր
CEPA</t>
  </si>
  <si>
    <t>ՆՄՄԿ ուսումնասիրության արդյունքների հիման վրա ՆՄՄԿ համակարգի բարեփոխված կառուցակարգի հայեցակարգի և բարեփոխմանը միտված գործողությունների ճանապարհային քարտեզի մշակում</t>
  </si>
  <si>
    <t>Հանրապետական նշանակության ՆՄՄԿ հաստատություններին անհրաժեշտ արդյունավետ գործառնության, այդ թվում՝ հանրակացարանային կամ կեցության պայմաններով ապահովում</t>
  </si>
  <si>
    <t>ՆՄՄԿ ոլորտում ներառական կրթության փորձնական ծրագրի մշակում և իրականացում,
ՆՄՄԿ ոլորտում անցում համընդհանուր ներառականության</t>
  </si>
  <si>
    <t>ՆՄՄԿ նոր ձեռնարկատիրական գործունեության հնարավորությունների և ձևերի ընդլայնման մեխանիզմների մշակում և իրականացում</t>
  </si>
  <si>
    <t>Արագ և ճկուն որակավորում ապահովող մեխանիզմների մշակում և գործարկում, այդ թվում՝ ոչ ֆորմալ կրթության արդյունքում միկրորակավորումների ճանաչման միջոցով</t>
  </si>
  <si>
    <t>Ֆինանսավորման, այդ թվում՝ պետական, տարբերակված քաղաքականության գործարկում հանրապետական նշանակության ՆՄՄԿ հաստատություններում</t>
  </si>
  <si>
    <t>Ռազմավարություն
նպաստի մոտավոր թիվ</t>
  </si>
  <si>
    <t>Կինեմատոգրաֆիայի ծրագիր</t>
  </si>
  <si>
    <t>Կինոնկարների արտադրություն</t>
  </si>
  <si>
    <t>Կինո-ֆոտո-ֆոնո հավաքածուի պահպանման ծառայություններ</t>
  </si>
  <si>
    <t>Ազգային կինոծրագրերի իրականացում</t>
  </si>
  <si>
    <t>Կինոարվեստի հանրահռչակում</t>
  </si>
  <si>
    <t>նոր</t>
  </si>
  <si>
    <t>Կինոարտադրության ներդրումների վերադարձ</t>
  </si>
  <si>
    <t>Մշակութային ժառանգության ծրագիր</t>
  </si>
  <si>
    <t>Պատմամշակութային ժառանգության գիտահետազոտական աշխատանքներ</t>
  </si>
  <si>
    <t>Մշակութային արժեքների փորձաքննության ծառայություններ</t>
  </si>
  <si>
    <t>Աջակցություն հայկական պատմամշակութային հուշարձանների վավերագրմանը</t>
  </si>
  <si>
    <t>Թանգարանային ծառայություններ և ցուցահանդեսներ</t>
  </si>
  <si>
    <t>Աջակցություն ոչ նյութական մշակութային ժառանգության պահպանմանը</t>
  </si>
  <si>
    <t>Հայաստանի Հանրապետությունում տեղակայված և  տեղակայվող արձանների և քանդակների հարակից  հողատարածքների արժեքի գնահատում և գույքային  իրավունքների գրանցում</t>
  </si>
  <si>
    <t xml:space="preserve">Աջակցություն թանգարանային միջոցառումների իրականացմանը_x000D_
(հանրահռչակում)
</t>
  </si>
  <si>
    <t>Մշակութային ժառանգության հանրահռչակում /Միջազգային ցուցադրություններ/</t>
  </si>
  <si>
    <t>Պատմության և մշակույթի անշարժ հուշարձանների հանրահռչակում միջազգային հարթակներում</t>
  </si>
  <si>
    <t>Թանգարաններում Էլեկտրոնային տոմսերի միասնական    ավտոմատացված համակարգի ստեղծում, ներդրում և սպասարկում</t>
  </si>
  <si>
    <t xml:space="preserve"> Մշակույթի զարգացման հիմնադրամի ստեղծում</t>
  </si>
  <si>
    <t>Պատմամշակութային անշարժ, շարժական և ոչ նյութական մշակութային ժառանգության գույքագրման շարունակականության ապահովում, այդ թվում` Լեռնային Ղարաբաղից բռնի
տեղահանվածների ոչ նյութական
մշակութային ժառանգության</t>
  </si>
  <si>
    <t>Գործունեություն ծավալող ժողովրդական վարպետների մասին տվյալների բանկի կազմում</t>
  </si>
  <si>
    <t>Ժողովրդական արհեսների և արվեստների քարտեզագրում</t>
  </si>
  <si>
    <t>Անկախության շրջանի մշակութային ժառանգության գույքագրում և  նստիտուցիոնալացում</t>
  </si>
  <si>
    <t>Թանգարանների մասնագետների վերապատրաստում միջազգային փորձին համապատասխան</t>
  </si>
  <si>
    <t>Դպրոցներում մշակութային ժառանգության պահպանության վերաբերյալ ուսումնական ձեռնարկի ներդնում</t>
  </si>
  <si>
    <t>Մշակութային ժառանգության ոլորտում մասնագիտական գրականության նորացում/արդիականացում</t>
  </si>
  <si>
    <t>Բարձրագույն և հետբուհական մասնագիտական կրթության ծրագիր</t>
  </si>
  <si>
    <t>Ակադեմիական փոխճանաչման և շարժունության ծառայություններ</t>
  </si>
  <si>
    <t>Բարձրագույն կրթության որակի ապահովման ծառայություններ</t>
  </si>
  <si>
    <t>Ռազմական դրությամբ պայմանավորված բարձրագույն կրթական ծրագրեր իրականացնող ուսումնական հաստատությունների սովորողների ուսման վարձի փոխհատուցում_x000D_</t>
  </si>
  <si>
    <t>Բուհի տարածքում տեղակայված պետական մարմինների բնականոն գործունեության ապահովում_x000D_</t>
  </si>
  <si>
    <t>Հայ-ռուսական գիտակրթական ֆորումի անցկացում</t>
  </si>
  <si>
    <t>Բարձրագույն մասնագիտական կրթություն ստացող ուսանողների կրթաթոշակ</t>
  </si>
  <si>
    <t>«Բարձրագույն և հետբուհական մասնագիտական կրթություն» ծրագրի գլխավոր նպատակն է՝ ապահովել մատչելի, որակյալ և մրցունակ բարձրագույն և հետբուհական մասնագիտական կրթություն: Միաժամանակ խրախուսվելու է խոցելի խմբերի համար բարձրագույն կրթության մատչելիությունը և աջակցությունը լավագույն առաջադիմություն ցուցաբերող ուսանողներին։
Ֆինանսական ծավալների աճը բխում է
«Հայաստանի Հանրապետության կրթության մինչև 2030 թվականի զարգացման պետական ծրագիրը» հաստատելու մասին» օրենքի 81-րդ կետի 3-րդ ենթակետի ժա. (բարձրագույն և մասնագիտական կրթություն ստանալու համար ֆինանսական աջակցության նոր մեխանիզմների մշակում և բազմազանեցում, այդ թվում՝ կրթաթոշակների տրամադրման մեխանիզմների էական լավարկման միջոցով) և 82-րդ կետի 4-րդ ենթակետի ը. (մասնագիտական և բարձրագույն ուսումնական հաստատություններին պետության համար ռազմավարական նշանակություն ունեցող մասնագիտություններով պետական աջակցության տրամադրման նոր սկզբունքների և մեխանիզմների ներդրում) պարբերություններից:
Կրթաթոշակի տրամադրման քաղաքականության նոր մոտեցումներից, որի արդյունքում ընդունվել է ՀՀ կառավարության 2023 թվականի օգոստոսի 24-ի N 1430-Ն որոշումը (կրթաթոշակ է տրամադրվում պետության համար առաջնային և կարևորություն ներկայացնող մասնագիտություններով սովորողներին, առանց ծնողական խնամքի մնացած և հաշմանդամություն ունեցող սովորողներին 50 000-77 000 ՀՀ դրամ ամսական)։</t>
  </si>
  <si>
    <t>Հետբուհական մասնագիտական կրթություն ստացող ուսանողների կրթաթոշակ բուհական հաստատություններում</t>
  </si>
  <si>
    <t>Ասպիրանտական կրթաթոշակներ գիտական հաստատություններում սովորողներին</t>
  </si>
  <si>
    <t>Բարձրագույն մասնագիտական կրթության գծով ուսանողական նպաստների տրամադրում</t>
  </si>
  <si>
    <t>Հետբուհական մասնագիտական կրթության գծով  նպաստների տրամադրում բուհական հաստատություններում</t>
  </si>
  <si>
    <t>Հետբուհական մասնագիտական կրթության գծով նպաստների տրամադրում գիտակրթական հաստատություններում</t>
  </si>
  <si>
    <t>Երևանում բարձրագույն կրթության հասանելիության ապահովում մարզաբնակ ուսանողներին, կեցության վարձավճարի փոխհատուցում մարզաբնակ և օտարերկրյա ուսանողներին</t>
  </si>
  <si>
    <t>Ուսումնական վարկերի տոկոսավճարների մասնակի փոխհատուցում</t>
  </si>
  <si>
    <t>2023 թվականի սեպտեմբերի 19-ից հետո Լեռնային Ղարաբաղից բռնի տեղահանված և ՀՀ-ում բարձրագույն մասնագիտական կրթություն ստացող ուսանողներին ուսման վարձի լրիվ կամ մասնակի փոխհատուցման նպատակով կրթաթոշակի տրամադրում</t>
  </si>
  <si>
    <t>1. ՀՀ կառավարությունը 2023թ. հոկտեմբերի 12-ի N 1762-Լ որոշմամբ հաստատել է 2023 թ․ սեպտեմբերի 19-ից հետո Լեռնային Ղարաբաղից բռնի տեղահանված ուսանողների՝ 2023-2024 ուստարվա ուսման վարձի լրիվ կամ մասնակի փոխհատուցման նպատակով կրթաթոշակի տրամադրման կարգը և տրամադրվելիք կրթաթոշակի առավելագույն չափերը՝ ըստ կրթական ծրագրերի: 2023թ. դեկտեմբեր ամսվա դրությամբ ԼՂ բուհերի բռնի տեղահանված շուրջ 1900 ուսանող արդեն իսկ ներգրավված է ՀՀ պետական բուհերի համապատասխան կամ հարակից կրթական ծրագրերում:
2. ՀՀ կառավարությունը 2023թ. դեկտեմբերի 21-ի N 2291-Լ որոշմամբ հաստատել է նաև ՀՀ նախնական (արհեստագործական), միջին, բարձրագույն և հետբուհական մասնագիտական կրթական ծրագրեր իրականացնող ուսումնական հաստատությունների վճարովի համակարգում մինչև 2023թ․ սեպտեմբերի 19-ն ընդգրկված սովորողների ուսման վարձի փոխհատուցման տրամադրման կարգը։ Նախնական հայտերի հիմքով աջակցության ենթակա է 844 շահառու (այս թիվը ենթակա է փոփոխման, քանի որ գործընթացը դեռևս ընթացքի մեջ է)։           Համապատասխան միջոցառումները կարող են կրել շարունակական բնույթ:</t>
  </si>
  <si>
    <t xml:space="preserve">Լեռնային Ղարաբաղից բռնի տեղահանված ընտանիքների Հայաստանի_x000D_
Հանրապետության բարձրագույն և հետբուհական մասնագիտական_x000D_ կրթական ծրագրեր իրականացնող ուսումնական հաստատություններում_x000D_ սովորող ուսանողների ուսման վարձի փոխհատուցում_x000D_
</t>
  </si>
  <si>
    <t>Երիտասարդության ծրագիր</t>
  </si>
  <si>
    <t>Երիտասարդական պետական քաղաքականությանն ուղղված ծրագրեր և միջոցառումներ</t>
  </si>
  <si>
    <t xml:space="preserve">2026 թ․ գումարի ավելացումը պայմանավորված է միջոցառումների քանակի ավելացումով, մասնավորապես 2022 թ․ մասիսի 20-ի ԱՊՀ երկրների ղեկավար խորհրդի որոշում (ՀՀ Սյունիքի մարզի Կապան քաղաքը 2026 թ․ ԱՊՀ երիտասարդական մայրաքաղաք հռչակելու մասին), հայ-ռուսակն երիտասարդական ֆորում և հայ-եգիպտական երիտասարդական ֆորում </t>
  </si>
  <si>
    <t>Երիտասարդական ծրագրերի շրջանակներում թրաֆիքինգի դեմ պայքարի միջոցառումներ</t>
  </si>
  <si>
    <t>ՀՀ տարվա երիտասարդական մայրաքաղաք</t>
  </si>
  <si>
    <t xml:space="preserve"> Միջազգային երիտասարդական ֆորումի կազմակերպում</t>
  </si>
  <si>
    <t>Աջակցություն երիտասարդ ընտանիքներին</t>
  </si>
  <si>
    <t>Վարկերի վերաֆինանսավորման կանխատեսվող ծավալների ավելացում,  վարկի միջին գումար (14.0 մլն. ՀՀ դրամ)</t>
  </si>
  <si>
    <t xml:space="preserve"> Երիտասարդական կենտրոնների ստեղծում_x000D_
</t>
  </si>
  <si>
    <t>210.576.0</t>
  </si>
  <si>
    <t>Ստեղծվող երիտասարդական կենտրոնների քանակի ավելացում, 2025թ․՝ 8, 2026թ․՝ 9 (հիմք՝ ՀՀ կառավարության 2021 թ․ նոյեմբերի 18-ի N 1902-Լ որոշման N 1 հավելվածով հաստատված 2021-2026 թվականների գործունեության միջոցառումների ծրագրի 52.2 կետ)</t>
  </si>
  <si>
    <t>Գրահրատարակչության և գրադարանների ծրագիր</t>
  </si>
  <si>
    <t>Թարգմանական ծրագրեր և աջակցություն ստեղծագործողներին ու հետազոտողներին</t>
  </si>
  <si>
    <t>Ոչ պետական մամուլի հրատարակում</t>
  </si>
  <si>
    <t>Գրադարանային ծառայություններ</t>
  </si>
  <si>
    <t>Աջակցություն գրականության հանրահռչակմանը« գրական ծրագրերին և գրքերի միջազգային ցուցահանդեսներին մասնակցությանը</t>
  </si>
  <si>
    <t>Տեսողության սահմանափակ կարողություններ ունեցող անձանց համար Բրայլյան տառատեսակով գրքերի տպագրություն, տետրերի պատրաստում և "Խոսող գրքերի" ձայնագրության ծառայություններ</t>
  </si>
  <si>
    <t>Գրականության հրատարակում</t>
  </si>
  <si>
    <t>Գրադարանային մասնագետների վերապատրաստում միջազգային փորձին համապատասխան</t>
  </si>
  <si>
    <t>Կրթության, գիտության, մշակույթի և սպորտի  բնագավառի   պետական քաղաքականության մշակում« ծրագրերի համակարգում և մոնիտորինգ</t>
  </si>
  <si>
    <t>Կրթության, գիտության, մշակույթի և սպորտի  բնագավառի պետական քաղաքականության մշակման« ծրագրերի համակարգման և մոնիտորինգի ծառայություններ</t>
  </si>
  <si>
    <t>Լեզվի բնագավառում պետական քաղաքականության մշակման և իրականացման ծառայություններ</t>
  </si>
  <si>
    <t>Արտասահմանյան պաշտոնական գործուղումներ</t>
  </si>
  <si>
    <t>ՀՀ պետական կառավարման մարմինների կողմից  դիմումներ, հայցադիմումներ, դատարանի վճիռների  և որոշումների դեմ վերաքննիչ և վճռաբեկ բողոքներ ներկայացնելիս` "Պետական տուրքի մասին" ՀՀ օրենքով սահմանված վճարումներ_x000D_</t>
  </si>
  <si>
    <t>Հասարակության և պետության հանդեպ հատուկ ծառայություններ ունեցած քաղաքացիների մահվան դեպքում հրաժեշտի ծիսակատարության և թաղման կազմակերպում, գերեզմանի բարեկարգման և մահարձանի պատրաստման ու տեղադրման աշխատանքներին աջակցություն</t>
  </si>
  <si>
    <t xml:space="preserve">  Հանրակրթության ծրագիր</t>
  </si>
  <si>
    <t>Տարրական ընդհանուր հանրակրթություն</t>
  </si>
  <si>
    <t>Հիմնական ընդհանուր հանրակրթություն</t>
  </si>
  <si>
    <t>Միջնակարգ ընդհանուր հանրակրթություն</t>
  </si>
  <si>
    <t>Տարրական հատուկ հանրակրթություն</t>
  </si>
  <si>
    <t>Հիմնական հատուկ հանրակրթություն</t>
  </si>
  <si>
    <t>Միջնակարգ հատուկ հանրակրթություն</t>
  </si>
  <si>
    <t>Տարրական մասնագիտացված հանրակրթություն</t>
  </si>
  <si>
    <t>Հիմնական մասնագիտացված հանրակրթություն</t>
  </si>
  <si>
    <t>Միջնակարգ մասնագիտացված հանրակրթություն</t>
  </si>
  <si>
    <t>Նախադպրոցական կրթություն</t>
  </si>
  <si>
    <t>Նորարարական մանկավարժական ծրագրերի իրականացում հանրակրթությունում</t>
  </si>
  <si>
    <t>ոչ գնային</t>
  </si>
  <si>
    <t>Դպրոցականների օլիմպիադաների անցկացում</t>
  </si>
  <si>
    <t>Ավելացումը պայմանավորված է ավիատոմսերի և մասնակցության անդամավճարների գումարների տարեցտարի ավելացմամբ</t>
  </si>
  <si>
    <t>Կրթական հաստատությունների աշակերտներին դասագրքերով և ուսումնական գրականությամբ ապահովում</t>
  </si>
  <si>
    <t>Դասագրքերի ստեղծման և հրատարակման համար նախատեսվող գումարների աստիճանական իջեցումը պայմանավորված է նոր ստեղծվող դասագրքերի տպագրության ինքնարժեքի նվազեցմամբ։</t>
  </si>
  <si>
    <t>Կրթական հաստատություններին ուսումնամեթոդական նյութերով ապահովում</t>
  </si>
  <si>
    <t>Դպրոցներում STEM կրթության և ռոբոտատեխնիկայի զարգացման իրականացում</t>
  </si>
  <si>
    <t>"Ազգային երգ ու պար"առարկայի ներդրում հանրակրթական ուսումնական հաստատություններում</t>
  </si>
  <si>
    <t>Միջնակարգ հանրակրթություն երեկոյան դպրոցում (Շիրակի մարզ)</t>
  </si>
  <si>
    <t>Օժանդակություն "Հայ-չինական բարեկամության դպրոց" հիմնադրամին</t>
  </si>
  <si>
    <t>Գնահատման և թեստավորման ծառայություններ</t>
  </si>
  <si>
    <t xml:space="preserve">Մասնակցություն սովորողների միջազգային գնահատման ծրագրին /PISA/_x000D_
_x000D_
</t>
  </si>
  <si>
    <t>Կիրառվել է 2023 և 2024 թվականների համար հաշվարկան մոտեցումը: Քանի որ գնահատման ծրագրի հիմնական փուլը 2025 թվականին է, բոլոր հոդվածային մասերով նախատեսվում է ռեսուրսների աճ: 2026 թվականին նախատեսվում է գնահատման ծրագրի վերլուծության պատվիրակում ՏՀԶԿ-ին: Միաժամանակ ծրագրի լուսաբանման և արդյունքների հրապարակման նպատակով նախատեսվել է 5-ական մլն դրամ 2025-2026 թվականներին: 2027թ. կլինի 2-րդ փուլի մեկնարկը:</t>
  </si>
  <si>
    <t>Պետական հանրակրթական ուսումնական հաստատության տնօրենի հավակնորդների զարգացման ծրագրերի փորձաքննության իրականացում</t>
  </si>
  <si>
    <t>Թիվն ավելանում է՝ պայմանավորված կառավարման նոր համակարգի անցմամբ։</t>
  </si>
  <si>
    <t>Տարակարգի հանրապետական հանձնաժողովի աշխատանքներում  ընդգրկված փորձագետների ֆինանսավորում (համաձայն ՀՀ կառավարության 2022 թ. սեպտեմբերի 29-ի N 1509-Ն որոշման)</t>
  </si>
  <si>
    <t xml:space="preserve">Նորարական լուծումներ`  ԲՏՃՄ ոլորտում կրթության որակի_x000D_ բարձրացում _x000D_
</t>
  </si>
  <si>
    <t xml:space="preserve"> Փոխհատուցում այլ բնակավայրում աշխատող պետական հանրակրթական դպրոցների մանկավարժներին</t>
  </si>
  <si>
    <t>Հանրակրթական դպրոցների մանկավարժներին և դպրոցահասակ երեխաներին տրանսպորտային ծախսերի փոխհատուցում</t>
  </si>
  <si>
    <t xml:space="preserve"> Սոցիալական աջակցություն ստացող ՀՀ սահմանամերձ համայնքների երեխաների դասագրքերի վարձավճարների փոխհատուցում</t>
  </si>
  <si>
    <t xml:space="preserve"> Ատեստավորման միջոցով տարակարգի որակավորում ստացած ուսուցիչներին համապատասխան հավելավճարի տրամադրման ապահովում</t>
  </si>
  <si>
    <t xml:space="preserve">Նախադպրոցական այլընտրանքային ծախսաարդյունավետ մոդելների ներդրում_x000D_
</t>
  </si>
  <si>
    <t xml:space="preserve">Հանրակրթական դպրոցների աշակերտներին անվանական կրթաթոշակի տրամադրում_x000D_
</t>
  </si>
  <si>
    <t xml:space="preserve">Պայմանավորված շահառուների թվի ավելացմամբ։ </t>
  </si>
  <si>
    <t xml:space="preserve"> «Տարվա լավագույնները» միջոցառման շրջանակում հանրակրթական ուսումնական հաստատությունների մանկավարժներին պարգևատրում</t>
  </si>
  <si>
    <t>Սոցիալական որոշ խմբերի  1.5-5 տարեկան երեխաների նախադպրոցական կրթության ապահովում</t>
  </si>
  <si>
    <t xml:space="preserve">ՀՀ  պետական հանրակրթական բոլոր ուսումնական հաստատություններում ԲՏՃՄ ոլորտի (բացառությամբ մաթեմատիկայի) դասավանդող ուսուցիչների համար վարձատրության բարձրացված հստակ չափաքանակի սահմանում	</t>
  </si>
  <si>
    <t xml:space="preserve">ՀՀ գյուղական բնակավայրերում մինչև 100 աշակերտ ունեցող պետական ուսումնական հաստատություններում դասավանդող ուսուցիչներին հավելավճարի սահմանում	</t>
  </si>
  <si>
    <t xml:space="preserve">ՀՀ Սյունիքի մարզում բազմահամակազմ դասարաններում դասավանդող ուսուցիչներին հավելավճարի սահմանում	_x000D_
</t>
  </si>
  <si>
    <t xml:space="preserve"> 12020</t>
  </si>
  <si>
    <t xml:space="preserve"> 2023 թվականին Լեռնային Ղարաբաղից բռնի տեղահանված ուսուցիչների օժանդակության ծրագիր</t>
  </si>
  <si>
    <t>«Դպրոցների լրացուցիչ ֆինանսավորում՝ կատարողական ցուցանիշների հիման վրա»</t>
  </si>
  <si>
    <t>Արտադպրոցական դաստիարակության ծրագիր</t>
  </si>
  <si>
    <t xml:space="preserve"> Արտադպրոցական դաստիարակություն</t>
  </si>
  <si>
    <t>Դպրոցականների ամառային հանգստի կազմակերպում և տրանսպորտային ծախսերի փոխհատուցում</t>
  </si>
  <si>
    <t>Արտադպրոցական դաստիարակություն հասարակական կազմակերպությունների կողմից</t>
  </si>
  <si>
    <t xml:space="preserve"> Մարզիչ-մանկավարժների վերապատրաստման կազմակերպում</t>
  </si>
  <si>
    <t xml:space="preserve"> "Հակոբ Կոջոյան" կրթահամալիր" ՊՈԱԿ-ում արտադպրոցական դաստիարակության կազմակերպում</t>
  </si>
  <si>
    <t>"Քո արվեստը դպրոցում"</t>
  </si>
  <si>
    <t xml:space="preserve">  "Դասական երաժշտություն "Դաս A"</t>
  </si>
  <si>
    <t xml:space="preserve">  ՀՀ դպրոցականների աշխարհի, Եվրոպայի և համաշխարհային գիմնազիադայի մասնակցության և ՀՀ տարածքում կազմակերպման ապահովում</t>
  </si>
  <si>
    <t>Դպրոցը գիտական միջավայրում</t>
  </si>
  <si>
    <t>Գումարի աճը պայմանավորված է ոչ գնային գործոնով, մասնավորապես՝ շահառուների թվի ավելացմամբ։</t>
  </si>
  <si>
    <t>ՀՀ հանրակրթական ծրագրեր իրականացնող ուսումնական հաստատությունների 11-րդ դասարանների աշակերտների ռազմամարզական ճամբարի կազմակերպում</t>
  </si>
  <si>
    <t>Ուսումնամարզական գործընթացի իրականացում մարզադպրոցներում</t>
  </si>
  <si>
    <t>Կամավոր ատեստավորման նոր համակարգի ներդրում՝_x000D_ ուղղված արտադպրոցական ուսումնական_x000D_ հաստատությունների մանկավարժական աշխատողների_x000D_ որակի բարձրացմանը</t>
  </si>
  <si>
    <t>Գիտական և գիտատեխնիկական հետազոտությունների ծրագիր</t>
  </si>
  <si>
    <t>Գիտության բնագավառի պետական քաղաքականության մշակման« ծրագրերի համակարգման և մոնիտորինգի ծառայություններ</t>
  </si>
  <si>
    <t>Գիտական ենթակառուցվածքի արդիականացում</t>
  </si>
  <si>
    <t>Ազգային արժեք ներկայացնող գիտական օբյեկտների պահպանություն</t>
  </si>
  <si>
    <t>Գիտական և գիտատեխնիկական պայմանագրային (թեմատիկ) հետազոտություններ</t>
  </si>
  <si>
    <t>Գիտական և գիտատեխնիկական նպատակային-ծրագրային հետազոտություններ</t>
  </si>
  <si>
    <t>Գիտական ամսագրերի և մենագրությունների հրատարակում</t>
  </si>
  <si>
    <t>Բարձր էներգիաների ֆիզիկայի բնագավառի ենթակառուցվածքների արդիականացում</t>
  </si>
  <si>
    <t xml:space="preserve"> Արագացուցչային տեխնոլոգիաների զարգացում</t>
  </si>
  <si>
    <t>Անտենային էտալոնների պահպանում և զարգացում</t>
  </si>
  <si>
    <t>Գիտական գրադարանային ծառայություններ</t>
  </si>
  <si>
    <t>Գիտատեխնիկական գրադարանային ծառայություններ</t>
  </si>
  <si>
    <t xml:space="preserve"> Հայաստանի Հանրապետությունում գիտելիքահենք տնտեսության էկոհամակարգի ձևավորում և զարգացում</t>
  </si>
  <si>
    <t>Գիտաշխատողներին գիտական աստիճանների համար տրվող հավելավճարներ</t>
  </si>
  <si>
    <t>ՀՀ ԳԱԱ իսկական և թղթակից անդամների պատվովճարների տրամադրում</t>
  </si>
  <si>
    <t>Մասսայական սպորտ</t>
  </si>
  <si>
    <t xml:space="preserve"> Հանրապետական ուսանողական մարզական խաղերի անցկացում</t>
  </si>
  <si>
    <t xml:space="preserve"> Համաշխարհային ունիվերսիադային Հայաստանի ուսանողական մարզական պատվիրակության մասնակցության ապահովում</t>
  </si>
  <si>
    <t xml:space="preserve">Հայաստանի Հանրապետության Վարչապետի գավաթ" սիրողական խճուղային հեծանվավազքի մրցաշարի անցկացում_x000D_
</t>
  </si>
  <si>
    <t>2024 թվականին մրցաշարը ձևափոխվել է և նախատեսվում է իրականացնել համայնքային, մարզային և եզրափակիչ փուլերով: Կավելանա նաև մասնակիցների քանակը:</t>
  </si>
  <si>
    <t xml:space="preserve"> "Հայաստանի Հանրապետության Վարչապետի գավաթ" սիրողական խճուղավազքի մրցաշարի անցկացում</t>
  </si>
  <si>
    <t>Միջոցարման մասնակիցների քանակի ավելացման նպատակով ավելանում է միջոցառման բյուջեն</t>
  </si>
  <si>
    <t xml:space="preserve"> "Հայաստանի Հանրապետության Վարչապետի գավաթ" սիրողական լողի մրցաշարի անցկացում</t>
  </si>
  <si>
    <t xml:space="preserve"> "Հայաստանի Հանրապետության Վարչապետի գավաթ" սիրողական սեղանի թենիսի մրցաշարի անցկացում</t>
  </si>
  <si>
    <t>Մասսայական սպորտին առնչվող ծառայություններ</t>
  </si>
  <si>
    <t xml:space="preserve"> "Հայաստանի Հանրապետության Վարչապետի գավաթ" դպրոցականների թիմային խճուղավազքի անցկացում</t>
  </si>
  <si>
    <t>Հայաստանի Հանրապետության վարչապետի հովանու ներքո ուժային կառույցների միջև անցկացվող բանակային խաղեր</t>
  </si>
  <si>
    <t>Միջոցառման մասնակից թիմերի քանակի ավելացման նպատակով ավելանում է միջոցառման բյուջեն</t>
  </si>
  <si>
    <t>Հանրային վայրերում ֆիզիկական ակտիվությունը խրախոււսող տեղեկատվական վահանակների  տեղադրում</t>
  </si>
  <si>
    <t>Ֆիզիկական ակտիվությանը խթանող էլեկտրոնային հավելվածների մշակում և ներդնում</t>
  </si>
  <si>
    <t>2025 թվականին Երևանում Եվրոպայի շախմատի համալսարանական առաջնության անցկացում</t>
  </si>
  <si>
    <t>Առողջ ապրելակերպը, ֆիզիկական ակտիվությունը և ադապտիվ սպորտը քարոզող փաստավավերագրական կամ գեղարվեստական ֆիլմերի պատրաստում և հեռարձակում</t>
  </si>
  <si>
    <t>«Հայաստանի Հանրապետության վարչապետի գավաթ» սիրողական մրցաշարերի մասսայականության մեծացում` ընդգրկելով հանրության տարբեր խմբերին, այդ թվում՝ հաշմանդամություն ունեցող անձանց, ավագ սերնդի ներկայացուցիչներին, կանանց</t>
  </si>
  <si>
    <t>Տարեկան զանգվածային մարզական հանրապետական միջոցառումների անցկացում հանրության բոլոր խմբերի համար, այդ թվում խրախուսելով հաշմանդամություն ունեցող անձանց, ավագ սերնդի մարդկանց, կանանց մասնակցությունը</t>
  </si>
  <si>
    <t>Առողջ ապրելակերպը, այդ թվում Ֆիզիկական  ակտիվությունը խթանող էլեկտրոնային հավելվածների մշակում և ներդնում</t>
  </si>
  <si>
    <t>Արվեստների ծրագիր</t>
  </si>
  <si>
    <t>Օպերային և բալետային արվեստի ներկայացումներ</t>
  </si>
  <si>
    <t>Ազգային ակադեմիական թատերարվեստի ներկայացումներ</t>
  </si>
  <si>
    <t xml:space="preserve"> Թատերական ներկայացումներ</t>
  </si>
  <si>
    <t>Երաժշտարվեստի և պարարվեստի համերգներ</t>
  </si>
  <si>
    <t xml:space="preserve"> Մշակութային միջոցառումների իրականացում</t>
  </si>
  <si>
    <t xml:space="preserve"> Ազգային ակադեմիական խմբերգային համերգներ</t>
  </si>
  <si>
    <t xml:space="preserve"> "Ժողովրդական" պատվավոր կոչման արժանացած անձանց ամենամսյա պատվովճարի վճարման ծառայություններ</t>
  </si>
  <si>
    <t>Մարզահամերգային համալիրի պահպանություն</t>
  </si>
  <si>
    <t xml:space="preserve"> Հայ կինոյի հիմնադրման 100-ամյա հոբելյանական միջոցառումների իրականացում</t>
  </si>
  <si>
    <t xml:space="preserve"> Արամ Խաչատրյանի ծննդյան 120-ամյակին նվիրված հոբելյանական միջոցառումների իրականացում</t>
  </si>
  <si>
    <t>Թատերահամերգային կազմակերպությունների ֆինանսավորման  փորձնական մոդելի ներդրում</t>
  </si>
  <si>
    <t>"Ժողովրդական" պատվավոր կոչման արժանացած անձանց պատվովճար</t>
  </si>
  <si>
    <t>Հայ կինոյի 100-ամյակը խորհրդանշող "Աստղային պուրակի"  կառուցում</t>
  </si>
  <si>
    <t>Մշակույթի ոլորտի անվանական թոշակ</t>
  </si>
  <si>
    <t>Մշակույթի ոլորտի մրցանակների սահմանում, մրցանակաբաշխությունների անցկացում</t>
  </si>
  <si>
    <t>Ապահով դպրոց</t>
  </si>
  <si>
    <t xml:space="preserve"> Աջակցություն դպրոցներին "Արագ արձագանքման ֆոնդի" շրջանակում՝ հրատապ խնդիրների լուծման համար</t>
  </si>
  <si>
    <t xml:space="preserve"> Դպրոցների սեյսմիկ անվտանգության մակարդակի բարձրացման ծրագիր</t>
  </si>
  <si>
    <t xml:space="preserve"> Ասիական զարգացման բանկի աջակցությամբ իրականացվող դպրոցների սեյսմիկ պաշտպանության ծրագրի կառավարում</t>
  </si>
  <si>
    <t xml:space="preserve"> Կրթության որակի ապահովում</t>
  </si>
  <si>
    <t>Նախնական մասնագիտական (արհեստագործական) և միջին մասնագիտական կրթության և ուսուցման (ՄԿՈՒ) բարեփոխումներ</t>
  </si>
  <si>
    <t xml:space="preserve"> Եվրոպական բարձրագույն կրթական տարածքի անդամակցությամբ պայմանավորված բարձրագույն մասնագիտական կրթության համակարգի բարեփոխումներ</t>
  </si>
  <si>
    <t>Գիտական որակավորման պարբերական գործընթացի համակարգում և մոնիտորինգ</t>
  </si>
  <si>
    <t>Գիտական աստիճանաշնորհման և գիտամանկավարժական կոչումների շնորհում</t>
  </si>
  <si>
    <t>Կրթության բովանդակային և մեթոդական սպասարկում</t>
  </si>
  <si>
    <t xml:space="preserve">2025-2027թթ․ ծրագրի իրականացվելիք միջոցառումների ընթացքում անցկացվող սեմինարների և խորհրդատվությունների աճ է նախատեսվում 10-20 տոկոսի չափով, իսկ մշտադիտարկումների թիվը՝ 25-33 տոկոս։Դա պայմանավորված է հանրակրթության պետական չափորոշչի ներդրումով հանրապետության բոլոր դպրոցներում, 
</t>
  </si>
  <si>
    <t>Ատեստավորման նոր համակարգի ներդրում՝ ուղղված ուսուցիչների որակի բարձրացմանը</t>
  </si>
  <si>
    <t>Գրագիտության, հմտությունների զարգացման, մասնագիտական կողմնորոշման համընդհանուր ներառականության, մշակութային և մարզական կրթության վերաբերյալ հոլովակների պատրաստում</t>
  </si>
  <si>
    <t>Համաշխարհային բանկի աջակցությամբ իրականացվող Հայաստանում ԵՄ-ն հանուն նորարարությանե դրամաշնորհային փորձնական ծրագրի շրջանակներում ԳՏՃՄ  ոլորտներում կրթության բարելավում, կրթության զարգացման և նորարարության ազգային կենտրոնի զարգացում</t>
  </si>
  <si>
    <t xml:space="preserve"> Հանրակրթական  հիմնական  և նախադպրոցական ծրագրեր իրականացնող ուսումնական հաստատությունների հերթական ատեստավորման ենթակա ուսուցչի և մանկավարժի վերապատրաստում</t>
  </si>
  <si>
    <t>Համաշխարհային բանկի աջակցությամբ իրականացվող "Կրթության բարելավման ծրագրի լրացուցիչ ֆինանսավորում" վարկային ծրագիր</t>
  </si>
  <si>
    <t xml:space="preserve"> ՀՀ պետական դպրոցների՝ տեղակայված դպրոցների ԳՏՃՄ առարկաներ դասավանդող ուսուցիչների վերապատրաստում նոր ստանդարտներին համապատասխան</t>
  </si>
  <si>
    <t>Մասնագիտական զարգացման և վարձատրության  փոխկապակցված համակարգի ներդրում՝  նախադպրոցական հաստատությունների  մանկավարժներին տարակարգի շնորհման գործընթացի  միջոցով</t>
  </si>
  <si>
    <t xml:space="preserve"> Համընդհանուր ներառական կրթության համակարգի ներդրում</t>
  </si>
  <si>
    <t>Մանկավարժահոգեբանական աջակցության ծառայություններ և  կրթության առանձնահատուկ պայմանների կարիք ունեցող երեխաների կրթության կազմակերպմանն օժանդակող միջոցառումներ</t>
  </si>
  <si>
    <t>Աուտիզմ և զարգացման խանգարումներ ունեցող երեխաներին մանկավարժահոգեբանական աջակցության  ծառայությունների տրամադրում</t>
  </si>
  <si>
    <t xml:space="preserve">Հանրակրթական դպրոցների ուսուցիչների և ուսուցչի օգնականների ներառական դասավանդման հմտությունների զարգացման ապահովում_x000D_
</t>
  </si>
  <si>
    <t>Մանկավարժահոգեբանական աջակցության ծառայություններ մատուցող մասնագետների մասնագիտական առաջխաղացման, ներառյալ ատեստավորման, հնարավորությունների ընդլայնում՝ փոխկապակցելով այն աշխատանքի արժանապատիվ վարձատրության մեխանիզմների և մասնագիտական ստանդարտների հետ</t>
  </si>
  <si>
    <t xml:space="preserve"> Մարզերի մշակութային զարգացման ծրագիր</t>
  </si>
  <si>
    <t>Մշակութային միջոցառումների իրականացում ՀՀ մարզերում</t>
  </si>
  <si>
    <t>Համայնքային մշակույթի և ազատ ժամանցի կազմակերպում</t>
  </si>
  <si>
    <t>Համայնքային մշակութային ժամանցային կենտրոնների ստեղծում</t>
  </si>
  <si>
    <t>Մշակութային և գեղագիտական դաստիարակության ծրագիր</t>
  </si>
  <si>
    <t xml:space="preserve"> Երաժշտական և արվեստի դպրոցներում ուսումնամեթոդական աշխատանքներ</t>
  </si>
  <si>
    <t>Երաժշտական և արվեստի դպրոցների համար ուսումնամեթոդական գրականության մշակում և հրատարակում</t>
  </si>
  <si>
    <t xml:space="preserve"> Աջակցություն շնորհալի պատանի երաժիշտ կատարողների մասնագիտական կարողությունների զարգացմանը և կատարելագործմանը</t>
  </si>
  <si>
    <t>Ազգային, փողային և լարային նվագարանների գծով ուսուցում</t>
  </si>
  <si>
    <t xml:space="preserve"> «Քո արվեստը դպրոցում»</t>
  </si>
  <si>
    <t xml:space="preserve"> «Դասական երաժշտություն «Դաս A»</t>
  </si>
  <si>
    <t xml:space="preserve"> Ստեղծագործական կրթամշակութային մանկապատանեկան ծրագրեր և նախագծեր</t>
  </si>
  <si>
    <t xml:space="preserve"> Դպրոցական բաժանորդային համակարգի ծրագրի իրականացում	</t>
  </si>
  <si>
    <t>Կրթության, մշակույթի և սպորտի ոլորտներում միջազգային և սփյուռքի հետ համագործակցության զարգացում</t>
  </si>
  <si>
    <t xml:space="preserve"> Համահայկական և համապետական կրթական խորհրդաժողով</t>
  </si>
  <si>
    <t>Հայաստանի և Սփյուռքի կրթության պատասխանատուների  մասնակցությամբ սփյուռքի կրթության հիմնախնդիրների վերհանում, գնահատում և դրանց լուծմանն ուղված ուղղությունների սահմանում</t>
  </si>
  <si>
    <t xml:space="preserve">   Սփյուռքի կրթօջախների ուսուցիչների կարողությունների հզորացում</t>
  </si>
  <si>
    <t>Սփյուռքի ուսուցիչների վերապատրաստում Հայաստանում մասնագիտական առանձին ուղղություններով</t>
  </si>
  <si>
    <t xml:space="preserve">Սփյուռքի կրթօջախների համար դասագրքերի և այլ ուսումնական նյութերի մշակում, ձեռքբերում և տրամադրում_x000D_
</t>
  </si>
  <si>
    <t>Սփյուռքի կրթօջախների համար դասագրքերի և այլ ուսումնական նյութերի մշակում, բաշխում և առաքում</t>
  </si>
  <si>
    <t xml:space="preserve">Հայաստանում ԱՊՀ մասնակից պետությունների ուսուցիչների և կրթության ոլորտի աշխատակիցների VIII համագումարի կազմակերպում 	</t>
  </si>
  <si>
    <t>Օտարերկրյա պետություններում հայերենի և հայագիտական առարկաների դասավանդում</t>
  </si>
  <si>
    <t>Աշխարհի բարձր վարկանիշ ունեցող համալսարաններում, թանգարան-ինստիտուտներում և կենտրոններում հայագիտության դասավանդում, աջակցություն գիտական խորհրդաժողովների կազմակերպմանը և հայագիտական հետազոտությունների իրականացմանը</t>
  </si>
  <si>
    <t xml:space="preserve">Մանկապատանեկան և երիտասարդական կրթական ու կրթամշակութային միջոցառումների կազմակերպում_x000D_
</t>
  </si>
  <si>
    <t xml:space="preserve"> Կրթամշակութային աջակցություն սփյուռքի համայնքներին</t>
  </si>
  <si>
    <t>Սփյուռքի համայնքներին կրթամշակութային օժանդակություն</t>
  </si>
  <si>
    <t xml:space="preserve">Հայաստանի միգրանտ ընտանիքների դպրոցականների հայոց լեզվի իմացության բարելավում_x000D_
</t>
  </si>
  <si>
    <t xml:space="preserve">Հայաստան ներգաղթած և վերադարձած ընտանիքների երեխաների համար հայերենի դասընթացների կազմակերպում </t>
  </si>
  <si>
    <t xml:space="preserve">Միջազգային կազմակերպություններին անդամակցում_x000D_
</t>
  </si>
  <si>
    <t>հաշվարկվել է հիմք ընդունելով 18.01.2024 դրությամբ եվրոյի և դոլարի փոխարժեքը</t>
  </si>
  <si>
    <t>Աջակցություն օտարերկրյա պետություններում հայալեզու թատերական ներկայացումներին</t>
  </si>
  <si>
    <t>Աջակցություն Թբիլիսիում գտնվող հայ գրողների պանթեոնի պահպանմանը</t>
  </si>
  <si>
    <t>«Եվրոպալիա» արվեստի միջազգային փառատոնի շրջանակներում Հայաստանի փառատոն անցկացում</t>
  </si>
  <si>
    <t>«Մեղրին՝ 2026 թվականին ԱՊՀ մշակութային մայրաքաղաք» միջպետական ծրագրի շրջանակներում միջոցառումների իրականացում</t>
  </si>
  <si>
    <t>Սփյուռքի կրթօջախների տվյալների բազայի կառավարում</t>
  </si>
  <si>
    <t>Արևելահայերենի իմացության մակարդակների
չափորոշիչների ստեղծում և դրանց ներդրման և միջազգային մակարդակում ճանաչման մեխանիզմների մշակում</t>
  </si>
  <si>
    <t>ՀՀ նախնական և միջին մասնագիտական ուսումնական հաստատությունների օտարերկրյա դիմորդների և ուսումնաողների փաստաթղթերի գրանցման և  հաշվառման էլեկտրոնային համակարգի ստեղծում ու շահագործում</t>
  </si>
  <si>
    <t xml:space="preserve">Կրթության ոլորտում տեղեկատվական և հաղորդակցական տեխնոլոգիաների ներդրում_x000D_
</t>
  </si>
  <si>
    <t>Էլեկտրոնային կառավարում_x000D_</t>
  </si>
  <si>
    <t>2025-2027թթ․ համար գումարը հաշվարկվել է՝ հիմք ընդունելով, որ յուրաքանչյուր տարի նախատեսվում է 3-ական նոր տեղեկատվական համակարգերի մշակում ու ներդնում՝ յուրաքանչյուրը միջինում 15 մլն դրամ և նախորդ տարի մշակված 3 նոր համակարգերի սպասարկման գումար՝ յուրաքանչյուրը՝ 5 մլն դրամ (տարեկան ընդամենը 60 մլն դրամով ավելացում)։</t>
  </si>
  <si>
    <t>ՏՀՏ բովանդակություն և հեռավար ուսուցում</t>
  </si>
  <si>
    <t>ՏՀՏ ենթակառուցվածքների ապահովում և սպասարկում</t>
  </si>
  <si>
    <t>Հիմք է ընդունվել 2022-2024թթ․ ծառայության մատուցման համար կնքված գնման պայմանագիրը։</t>
  </si>
  <si>
    <t xml:space="preserve"> Նախադպրոցական կրթություն	</t>
  </si>
  <si>
    <t xml:space="preserve"> Նախադպրոցական կրթության հասանելիության և որակի ապահովում</t>
  </si>
  <si>
    <t xml:space="preserve"> Նախադպրոցական ծրագրեր իրականացնող ուսումնական հաստատությունների մանկավարժների վերապատրաստում</t>
  </si>
  <si>
    <t xml:space="preserve"> Սոցիալական որոշ խմբերի  1.5-5 տարեկան երեխաների նախադպրոցական կրթության ապահովում</t>
  </si>
  <si>
    <t xml:space="preserve"> 12002</t>
  </si>
  <si>
    <t xml:space="preserve"> Մասնագիտական զարգացման և վարձատրության  փոխկապակցված համակարգի ներդրում՛  նախադպրոցական հաստատությունների  մանկավարժներին տարակարգի շնորհման գործընթացի  միջոցով</t>
  </si>
  <si>
    <t>Պայմանավորված է յուրաքանչյուր տարի կանխատեսվող՝ տարակարգի համար դիմող մանկավարժների թվի աճով:</t>
  </si>
  <si>
    <t xml:space="preserve">Նախադպրոցական հաստատություններում մասնագիտական կադրերի առկայության ապահովում՝ տրանսպորտային ծախսերի փոխհատուցման միջոցով </t>
  </si>
  <si>
    <t>Նախադպրոցական հաստատությունների աշխատակազմի պարբերական վերապատրաստումների կազմակերպում, այդ թվում՝ մանկավարժության և կառավարման նորարարական մոտեցումների կիրառման ուղղությամբ</t>
  </si>
  <si>
    <t>Մասնագիտական զարգացման և վարձատրության փոխկապակցված համակարգի ներդրում՝ նախադպրոցական հաստատությունների մանկավարժներին տարակարգի շնորհման գործընթացի միջոցով</t>
  </si>
  <si>
    <t xml:space="preserve">Պետական բյուջեից համայնքային
մանկապարտեզներում կրթության և
զարգացման առանձնահատուկ
պայմանների կարիք ունեցող (ԿԶԱՊԿՈՒ)
երեխաների համար պայմանների
ապահովման ֆինանսավորում </t>
  </si>
  <si>
    <t>Պետական բյուջեից համայնքային մանկապարտեզներում սոցիալապես անապահով ընտանիքների երեխաների կրթության ֆինանսավորում</t>
  </si>
  <si>
    <t>Նախադպրոցական կրթության ծառայությունների զարգացած ցանցի ներդրում՝ մասնավորի հետ համագործակցությամբ</t>
  </si>
  <si>
    <t>Երեխաների փոքրաքանակ համակազմ ունեցող բնակավայրերում նախադպրոցական ծառայությունների ինտեգրում կրթահամալիրների կառուցվածքում՝ միասնական կառավարմամբ</t>
  </si>
  <si>
    <t>Նախադպրոցական կրթության կառավարման տեղեկատվական ամբողջական համակարգի գործարկում</t>
  </si>
  <si>
    <t>Նախադպրոցական հաստատություններում զարգացնող միջավայրի ապահովում՝ ուսումնական գույքի, դիդակտիկ նյութերի, զարգացնող խաղերի շարունակական արդիականացման միջոցով </t>
  </si>
  <si>
    <t>Պետական բյուջեից համայնքային մանկապարտեզներում 0-2 տարեկան երեխաների խմբերի ֆինանսավորում` ապահովելով բոլոր խոշորացված համայնքներում մսուրի ծառայությունների հասանելիություն</t>
  </si>
  <si>
    <t>Ծանոթություն</t>
  </si>
  <si>
    <t>Առաջարկություններ չկան</t>
  </si>
  <si>
    <t>դիրքորոշումը կներկայացվի երկօրյա ժամկետում</t>
  </si>
  <si>
    <r>
      <t xml:space="preserve"> Օտարերկրյա պետություններում և միջազգային կազմակերպություններում հավատարմագրված ՀՀ դիվանագիտական ծառայության մարմինների գործունեության իրականացում՝</t>
    </r>
    <r>
      <rPr>
        <b/>
        <i/>
        <sz val="11"/>
        <color theme="1"/>
        <rFont val="GHEA Grapalat"/>
        <family val="3"/>
      </rPr>
      <t xml:space="preserve"> ավելացում</t>
    </r>
  </si>
  <si>
    <t>Մանկապատենական մարզադպրոցներին, մարզաձեևերի ազգային ֆեդերացիաներին և այլ մարզական հասարակական կազմակերպություններին գույքով ապահովում</t>
  </si>
  <si>
    <t>Նախնական մասնագիտական (արհեստագործական) և միջին մասնագիտական ուսումնական հաստատությունների շենքային պայմանների բարելավում</t>
  </si>
  <si>
    <t xml:space="preserve"> Նախնական մասնագիտական (արհեստագործական) և միջին մասնագիտական ուսումնական հաստատություններում ուսումնաարտադրական բազայով ապահովում</t>
  </si>
  <si>
    <t>Նախնական մասնագիտական (արհեստագործական) և միջին մասնագիտական ուսումնական հաստատությունների շենքերի կառուցում</t>
  </si>
  <si>
    <t>ՆՄՄԿ ոլորտի ռեսուրս-կենտրոնների ստեղծում</t>
  </si>
  <si>
    <t>Կինեմատոգրաֆիայի ոլորտի կազմակերպությունների գույքով ապահովում</t>
  </si>
  <si>
    <t>Հուշարձանների ամրակայում« նորոգում և վերականգնում</t>
  </si>
  <si>
    <t>Քանդակների պատրաստման և տեղադրման աշխատանքներ</t>
  </si>
  <si>
    <t xml:space="preserve">Արձանների պատրաստման, նորոգման, վերականգնման և տեղադրման աշխատանքներ_x000D_
</t>
  </si>
  <si>
    <t>Հայաստանի Հանրապետությունում տեղակայված և  տեղակայվող արձանների և քանդակների հարակից  հողատարածքների ձեռքբերում</t>
  </si>
  <si>
    <t>Ներդրումներ թանգարանների և պատկերասրահների հիմնանորոգման համար</t>
  </si>
  <si>
    <t>Թանգարանների և պատկերասրահների գույքային և տեխնիկական  հագեցվածության բարելավում</t>
  </si>
  <si>
    <t>Պատմամշակութային ժառանգության ոլորտի կազմակերպությունների գույքային ապահովվածության բարելավում</t>
  </si>
  <si>
    <t>Տեղեկատվական մոդուլային կենտրոնների ստեղծում</t>
  </si>
  <si>
    <t>Բարձրագույն  ուսումնական հաստատությունների և "Զեյթուն"  ուսանողական ավան"  հիմնադրամի շենքային պայմանների բարելավում</t>
  </si>
  <si>
    <t xml:space="preserve">Բարձրագույն ուսումնական հաստատությունների և "Զեյթուն" ուսանողական ավան" հիմնադրամի նյութատեխնիկական բազայի համալրում և գույքով ապահովում_x000D_
</t>
  </si>
  <si>
    <t>Հանրային գրադարանների նյութատեխնիկական բազայի զարգացում</t>
  </si>
  <si>
    <t>Ներդրումներ գրադարանների հիմնանորոգման համար_x000D_</t>
  </si>
  <si>
    <t>ՀՀ կրթության, գիտության, մշակույթի և սպորտի նախարարության կարողությունների զարգացում և տեխնիկական հագեցվածության ապահովում_x000D_</t>
  </si>
  <si>
    <t>ՀՀ կրթության, գիտության, մշակույթի և սպորտի բնագավառում օժանդակ ծրագրեր իրականացնող կազմակերպությունների շենքային պայմանների բարելավում_x000D_</t>
  </si>
  <si>
    <t>Մասնակցություն սովորողների միջազգային գնահատման ծրագիր /PISA/ 100 համակարգչի ձեռքբերում</t>
  </si>
  <si>
    <t xml:space="preserve"> "Մոդուլային" տիպի մանկապարտեզների շենքային ապահովում</t>
  </si>
  <si>
    <t xml:space="preserve">Արտադպրոցական դաստիարակություն իրականացնող կազմակերպությունների շենքային պայմանների բարելավում_x000D_
</t>
  </si>
  <si>
    <t xml:space="preserve"> ՀՀ ԿԳՄՍՆ բարձրագույն կրթության  և գիտության կոմիտեի տեխնիկական հագեցվածության բարելավում</t>
  </si>
  <si>
    <t xml:space="preserve">  Գիտական կենտրոնների վերանորոգում, "Ակադեմիական քաղաք" նախագծի իրականացման շրջանակներում առաջացած հրատապ ծախսերի ապահովում</t>
  </si>
  <si>
    <t xml:space="preserve">Գիտական կենտրոնները ժամանակակից սարքավորումներով վերազինում ու համատեղ օգտագործման գիտական սարքավորումների կենտրոնների ստեղծում_x000D_
</t>
  </si>
  <si>
    <t xml:space="preserve"> Արհեստական բանականության գիտահետազոտական կենտրոնի արդիականացում	</t>
  </si>
  <si>
    <t xml:space="preserve"> Աջակցություն համայնքներին մարզական հաստատությունների շենքային պայմանների բարելավման համար</t>
  </si>
  <si>
    <t xml:space="preserve"> Մարզական օբյեկտների շինարարություն</t>
  </si>
  <si>
    <t xml:space="preserve"> Մարզական օբյեկտների հիմնանորոգում</t>
  </si>
  <si>
    <t>Թեթև կոնստրուկցիաներով մարզադահլիճների հիմնում</t>
  </si>
  <si>
    <t xml:space="preserve"> «Հայաստանի Հանրապետության Վարչապետի գավաթ» սիրողական խճուղային հեծանվավազքի մրցաշարի անցկացման համար հեծանիվների ձեռքբերում</t>
  </si>
  <si>
    <t>Ներդրումներ թատրոնների և համերգային կազմակերպությունների շենքերի կապիտալ վերանորոգման համար</t>
  </si>
  <si>
    <t>Կարեն Դեմիրճյանի անվան մարզահամերգային համալիրի կարողությունների զարգացում</t>
  </si>
  <si>
    <t xml:space="preserve"> Թատերահամերգային կազմակերպությունների նյութատեխնիկական բազայի  համալրում_x000D_
</t>
  </si>
  <si>
    <t xml:space="preserve"> Երաժշտական գործիքների ձեռքբերում</t>
  </si>
  <si>
    <t>Կրթական օբյեկտների շենքային պայմանների բարելավում</t>
  </si>
  <si>
    <t>Կրթական օբյեկտների շենքային ապահովվածության բարելավում</t>
  </si>
  <si>
    <t>Փոքրաքանակ երեխաներով համալրված հանրակրթական դպրոցների  և կրթահամալիրներ մոդուլային շենքերի կառուցում</t>
  </si>
  <si>
    <t>Ավագ մակարդակի կրթություն իրականացնող ուսումնական հաստատությունների շենքային պայմանների բարելավում</t>
  </si>
  <si>
    <t>Հանրակրթական կրթություն իրականացնող ուսումնական հաստատությունների նոր մարզադահլիճների կառուցում</t>
  </si>
  <si>
    <t>Հանրակրթական կրթություն իրականացնող ուսումնական հաստատությունների մարզադահլիճների վերակառուցում</t>
  </si>
  <si>
    <t xml:space="preserve">Հանրակրթական դպրոցների գույքով և տեխնիկայով ապահովում_x000D_
</t>
  </si>
  <si>
    <t>ՀՀ մարզերում կրթական որակյալ ծառայությունների  հասանելիության ապահովման ծրագրի շրջանակներում կրթական կենտրոնների ստեղծում</t>
  </si>
  <si>
    <t xml:space="preserve"> 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t>
  </si>
  <si>
    <t xml:space="preserve"> 12003</t>
  </si>
  <si>
    <t xml:space="preserve"> Ասիական զարգացման բանկի աջակցությամբ իրականացվող դպրոցների սեյսմիկ պաշտպանության ծրագրի լրացուցիչ ֆինանսավորման շրջանակներում ՀՀ դպրոցների սեյսմիկ անվտանգության բարելավմանն ուղղված միջոցառումներ</t>
  </si>
  <si>
    <t>Համաշխարհային բանկի աջակցությամբ իրականացվող ,Հայաստանում ԵՄ-ն հանուն նորարարությանե դրամաշնորհային փորձնական ծրագրի շրջանակներում Տավուշի մարզում ԳՏՃՄ ոլորտների կրթական միջավայրի բարելավում</t>
  </si>
  <si>
    <t>Համաշխարհային բանկի աջակցությամբ իրականացվող "Կրթության բարելավման  ծրագրի լրացուցիչ ֆինանսավորում" վարկային ծրագրի շրջանակներում կապիտալ ներդրումներ  հանրակրթական ուսումնական հաստատություններում</t>
  </si>
  <si>
    <t xml:space="preserve"> 32007</t>
  </si>
  <si>
    <t>ՀՀ պետական դպրոցների՝ ԳՏՃՄ լաբորատորիաներով ապահովում</t>
  </si>
  <si>
    <t xml:space="preserve"> Ամերիկայի Միացյալ Նահանգների միջազգային զարգացման գործակալության աջակցությամբ իրականացվող «Ներառական կրթության համակարգի ներդրում» դրամաշնորհային ծրագիր </t>
  </si>
  <si>
    <t>Աջակցություն համայնքներին մշակութային հաստատությունների շենքային պայմանների բարելավման համար</t>
  </si>
  <si>
    <t>Երաժշտական և արվեստի դպրոցների համար երաժշտական գործիքների ձեռքբերում</t>
  </si>
  <si>
    <t xml:space="preserve"> Հանրակրթական և նախադպրոցական հաստատությունների հիմնում, կառուցում, բարելավում</t>
  </si>
  <si>
    <t xml:space="preserve"> Մանկապարտեզների նոր շենքերի կառուցում</t>
  </si>
  <si>
    <t xml:space="preserve"> 32002</t>
  </si>
  <si>
    <t xml:space="preserve"> Մանկապարտեզների շենքերի վերակառուցում, հիմնանորոգում</t>
  </si>
  <si>
    <t xml:space="preserve"> 32003</t>
  </si>
  <si>
    <t xml:space="preserve"> Հանրակրթական դպրոցների նոր շենքերի կառուցում</t>
  </si>
  <si>
    <t xml:space="preserve"> 32004</t>
  </si>
  <si>
    <t xml:space="preserve"> Հանրակրթական դպրոցների շենքերի վերակառուցում, հիմնանորոգում</t>
  </si>
  <si>
    <t xml:space="preserve"> 32005</t>
  </si>
  <si>
    <t xml:space="preserve"> Կրթահամալիրների կառուցում</t>
  </si>
  <si>
    <t xml:space="preserve"> 32006</t>
  </si>
  <si>
    <t xml:space="preserve"> Հանրակրթական դպրոցների, մանկապարտեզների և կրթահամալիրների գույքով և տեխնիկայով ապահովում</t>
  </si>
  <si>
    <t xml:space="preserve"> 2024թ. Տեղեկատվական տեխնոլոգիաների համաշխարհային համաժողովի կազմակերպում</t>
  </si>
  <si>
    <t>Ծրագիրը նախատեսվում է ավարտել 2024 թվականին</t>
  </si>
  <si>
    <t>Գնահատականներ տրվել են հաշվի առնելով ՀՀ գերատեսչությունների կողմից պարբերաբար ներկայացվող տիեզերանկարների պահանջարկի միտումները։</t>
  </si>
  <si>
    <t xml:space="preserve">Նշված միջոցառումների գծով ներկայացված չափաքանակները խիստ նախնական են՝ հաշվի է առնվել միայն աշխատավարձի բնականոն աճը: Մանրամասն հաշվարկները կներկայացվեն բյուջետային հայտով </t>
  </si>
  <si>
    <t>Ծրագիրը նախատեսված է ավարտել 2024 թվականին</t>
  </si>
  <si>
    <t>Կազմվել է վարչության կողմից</t>
  </si>
  <si>
    <t>Հանրային վայրերում առողջ ապրելակերպը և ֆիզիկական ակտիվությունը խրախուսող տեղեկատվական վահանակների տեղադրում, տեղեկատվական նյութերի պատրաստում և տարածում</t>
  </si>
  <si>
    <t xml:space="preserve"> Քաղաքաշինության և ճարտարապետության բնագավառում պետական քաղաքականության իրականացում և կանոնակարգում</t>
  </si>
  <si>
    <t xml:space="preserve"> Քաղաքաշինության և ճարտարապետության բնագավառում պետական քաղաքականության մշակման, իրականացման, համակարգման, պլանավորման, մոնիտորինգի, կապիտալ ծրագրերի կատարման, պետական գնումների իրականացման ծառայություն</t>
  </si>
  <si>
    <t xml:space="preserve"> Տարածքային կառավարման և ենթակառուցվածքների քաղաքականության մշակում և ծառայությունների մատուցում</t>
  </si>
  <si>
    <t>1,616,558․3</t>
  </si>
  <si>
    <t>1,624,044․1</t>
  </si>
  <si>
    <t xml:space="preserve"> ՀՀ տարածքային կառավարման և ենթակառուցվածքների նախարարության կարողությունների զարգացում և տեխնիկական հագեցվածության ապահովում</t>
  </si>
  <si>
    <t>20,387․6</t>
  </si>
  <si>
    <t>Ոռոգում-ջրառ իրականացնող կազմակերպություններին ֆինանսական աջակցության տրամադրում</t>
  </si>
  <si>
    <t>2025-2026թթ. համար հիմք է ընդունվել ՀՀ կառավարության 29.06.2023թ. N 1082-Ն որոշմամբ տվյալ միջոցառման մասով հաստատված գումարները, 2027թ. համար՝ 2026թ.ցուցանիշը։</t>
  </si>
  <si>
    <t xml:space="preserve"> Ոռոգման ծառայություններ մատուցող ընկերություններին ֆինանսական աջակցության տրամադրում</t>
  </si>
  <si>
    <t>2025-2027թթ. համար հիմք է ընդունվել ՀՀ 2024թ. պետական բյուջեով հատկացված գումարը։</t>
  </si>
  <si>
    <t xml:space="preserve"> Եվրասիական զարգացման բանկի աջակցությամբ իրականացվող ոռոգման համակարգերի զարգացման ծրագրի խորհրդատվություն և կառավարում</t>
  </si>
  <si>
    <t>Հաշվարկները կատարվել են՝ հաշվի առնելով 2023թ. փաստացի ցուցանիշները, նախատեսվածից ուշ մեկնարկվելիք խորհրդատվական ծառայությունների հանգամանքը, ինչպես նաև՝  փոխարժեքի այս պահին առկա ցուցանիշը։</t>
  </si>
  <si>
    <t xml:space="preserve"> Ֆրանսիայի Հանրապետության կառավարության աջակցությամբ իրականացվող Վեդու ջրամբարի և որռոգման համակարգի  կառուցման ծրագրի խորհրդատվություն և կառավարում</t>
  </si>
  <si>
    <t>Նախատեսվում է միայն ծրագրի աուդիտի վճարում։</t>
  </si>
  <si>
    <t xml:space="preserve"> Գերմանիայի զարգացման վարկերի բանկի աջակցությամբ իրականացվող Ախուրյան գետի ջրային ռեսուրսների ինտեգրացված կառավարում ծրագրի խորհրդատվություն և կառավարում</t>
  </si>
  <si>
    <t>Հաշվարկները կատարվել են՝ հաշվի առնելով 2023թ. փաստացի ցուցանիշները, Կապսի ջրամբարի կառուցման աշխատանքների ուշացման հետևանքով  խորհրդատվական ծառայությունների հետաձգման հանգամանքը, ինչպես նաև՝  փոխարժեքի այս պահին առկա ցուցանիշը։</t>
  </si>
  <si>
    <t xml:space="preserve"> Գերմանիայի զարգացման վարկերի բանկի աջակցությամբ իրականացվող Ախուրյան գետի ջրային ռեսուրսների ինտեգրացված կառավարման դրամաշնորհային ծրագիր</t>
  </si>
  <si>
    <t xml:space="preserve">Փոփոխությունները պայմանավորված են հաշվարկման հիմքում կիրառված փոխարժեքային տարբերություններով, հաշվի առնելով կնքված միջազգային, արտարժութային պայմանագիրը՝ համաձայն ծրագրի ընթացակարգերի։ </t>
  </si>
  <si>
    <t xml:space="preserve"> Գերմանիայի զարգացման վարկերի բանկի աջակցությամբ իրականացվող Ախուրյան գետի ջրային ռեսուրսների ինտեգրացված կառավարում փուլ 1 ծրագրով Ջրաձոր գյուղի վերաբնակեցման գործողությունների խորհրդատվություն և կառավարում</t>
  </si>
  <si>
    <t>2025-2026թթ. հաշվարկներում հաշվի է առնվել այն հանգամանքը, որ ՀՁՎԳՊ-ի ազդակիր անձանց փոխհատուցումների տրամադրման գործընթացի մեկնարկը նախատեսվածից ավելի ժամանակատար է եղել և 2023թ. նախատեսված վճարումների մեծ մասը տեղափոխվել-հետաձգվել է։ Արդյունքում՝ 2025-2026թթ. ցուցանիշները վերանայվել են։</t>
  </si>
  <si>
    <t xml:space="preserve">  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t>
  </si>
  <si>
    <t xml:space="preserve">Հաշվարկները կատարվել են՝ հաշվի առնելով 2023թ. փաստացի ցուցանիշները, փոխարժեքի այս պահին առկա ցուցանիշը և ծրագրի երկարաձգված ժամկետը՝ 19.06.2026թ.: </t>
  </si>
  <si>
    <t xml:space="preserve"> Փոքր և միջին ջրամբարների կառուցման խորհրդատվություն և կառավարում</t>
  </si>
  <si>
    <t xml:space="preserve"> Արփա-Սևան թունելի ընթացիկ շահագործում և պահպանում</t>
  </si>
  <si>
    <t xml:space="preserve"> Համաշխարհային բանկի աջակցությամբ իրականացվող Սոցիալական ներդրումների և տեղական զարգացման ծրագրի լրացուցիչ ֆինանսավորման ծրագրի կառավարում</t>
  </si>
  <si>
    <t>Հաշվարկները կատարվել են՝ հաշվի առնելով 2023թ. փաստացի ցուցանիշները և փոխարժեքի այս պահին առկա ցուցանիշը։</t>
  </si>
  <si>
    <t xml:space="preserve"> ԱՄՆ ՄԶԳ աջակցությամբ իրականացվող Տեղականինքնակառավարման և ապակենտրոնացման բարեփոխումների դրամաշնորհային ծրագրի կառավարում</t>
  </si>
  <si>
    <t>Հաշվարկները կատարվել են՝ հաշվի առնելով 2023թ. փաստացի ցուցանիշները, ծրագրի ընթացքի առանձնահատկությունները և փոխարժեքի այս պահին առկա ցուցանիշը։</t>
  </si>
  <si>
    <t xml:space="preserve"> Կոլեկտորադրենաժային ծառայություններ</t>
  </si>
  <si>
    <t>Վերապատրաստման ծառայություններ</t>
  </si>
  <si>
    <t xml:space="preserve"> Միջազգային կազմակերպությունների աջակցությամբ իրականացվող  ՀՀ 8 մարզերում աղբահանության և կոշտ թափոնների ինտեգրված համակարգի կառուցում</t>
  </si>
  <si>
    <t>Ներկայացված են խոշորացված հաշվարկներով տեխնիկատնտնեսական փաստաթղթերի կազմման, շինարարության և անհրաժեշտ տեխնիկայի ու սարքավորումների ձեռքբերման ֆինանսական նախնական մոտավոր գնահատականները</t>
  </si>
  <si>
    <t xml:space="preserve"> Միջպետական և հանրապետական նշանակության ավտոճանապարհների պահպանման և անվտանգ երթևեկության ծառայություններ </t>
  </si>
  <si>
    <t>2025-2026թթ․ համար միջպետական և հանրապետաան ճաապահների պահպանման համար լրացուցիչ 100 մլն․ դրամի ավելացումը պայմանավորված է լրացուցիչ գծանշման աշխատանքներ իրականացնելու անհրաժեշտությամբ, իսկ 2027թ․ գումարի որոշվել է հաշվի առնելով, որ ճանապարհների պահպանման աշխատանքների պայմանագրերի ժամկետները հիմնականում ավարտվում են 2026 թվականի դեկտեմբերի 31-ին, ուստի պահպանման աշխատանքների համար նախատեսվող ֆինանսական միջոցների չափը կվերանայվի հաշվի առնելով ճանապարհների պահպանման համար մեկ կմ-ի համար նախատեսվող աշխատանքների ծավալների և գների աճը</t>
  </si>
  <si>
    <t>Մարզային նշանակության ավտոճանապարհների ձմեռային պահպանում, ընթացիկ պահպանում և շահագործում</t>
  </si>
  <si>
    <t xml:space="preserve"> Հայաստանի Հանրապետությունում հսկիչ սարքերի (թվային տախոգրաֆի) համակարգի կարգավորում</t>
  </si>
  <si>
    <t xml:space="preserve"> Ավտոմոբիլային ճանապարհների ցանցի հսկողություն, ուսումնասիրություններ և փորձաքննություններ</t>
  </si>
  <si>
    <t xml:space="preserve"> Ասիական զարգացման բանկի աջակցությամբ իրականացվող Հյուսիս-հարավ միջանցքի զարգացման ծրագրի համակարգում և կառավարում ( Տրանշ 2)</t>
  </si>
  <si>
    <t>Ծրագիրը փակող ծախսեր, ֆին աուդիտ</t>
  </si>
  <si>
    <t xml:space="preserve"> Ասիական զարգացման բանկի աջակցությամբ իրականացվող Հյուսիս-հարավ միջանցքի զարգացման ծրագրի համակարգում և կառավարում (Տրանշ 3)</t>
  </si>
  <si>
    <t xml:space="preserve"> 11012</t>
  </si>
  <si>
    <t xml:space="preserve"> Եվրասիական զարգացման բանկի աջակցությամբ իրականացվող Հյուսիս-հարավ միջանցքի զարգացման ծրագրի համակարգում և կառավարում</t>
  </si>
  <si>
    <t>Ներառում է պահպանման ծախսեր և ֆին աուդիտ</t>
  </si>
  <si>
    <t xml:space="preserve"> Հյուսիս-հարավ ճանապարհային միջանցքի զարգացման ծրագրի Սիսիան-Քաջարան 60կմ-ի համակարգում և կառավարում</t>
  </si>
  <si>
    <t xml:space="preserve"> Հյուսիս-հարավ ճանապարհային միջանցքի զարգացման ծրագրի Քաջարանի թունելի և մոտեցումների համակարգում և կառավարում</t>
  </si>
  <si>
    <t>Ներառում է պահպանման ծախսեր, ՀՕՏԾ և ֆին աուդիտ</t>
  </si>
  <si>
    <t xml:space="preserve"> Հյուսիս-հարավ ճանապարհային միջանցքի զարգացման ծրագրի Գյումրու շրջանցիկ ճանապարհի համակարգում և կառավարում, Տրանշ 5</t>
  </si>
  <si>
    <t xml:space="preserve"> Խմելու ջրի մատակարարման և ջրահեռացման ծառայությունների սուբսիդավորում</t>
  </si>
  <si>
    <t xml:space="preserve"> Եվրոպական միության հարևանության ներդրումային ծրագրի աջակցությամբ իրականացվող Երևանի ջրամատակարարման բարելավման դրամաշնորհային ծրագիր</t>
  </si>
  <si>
    <t>Հաշվարկները կատարվել են՝ հաշվի առնելով 2023թ. փաստացի ցուցանիշները, փոխարժեքի այս պահին առկա ցուցանիշը։</t>
  </si>
  <si>
    <t xml:space="preserve"> Եվրոպական ներդրումային բանկի աջակցությամբ իրականացվող Երևանի ջրամատակարարման բարելավման ծրագիր</t>
  </si>
  <si>
    <t>Հաշվարկները կատարվել են՝ հաշվի առնելով փոխարժեքի այս պահին առկա ցուցանիշը։</t>
  </si>
  <si>
    <t xml:space="preserve"> Գերմանիայի զարգացման վարկերի բանկի աջակցությամբ իրականացվող ջրամատակարարման և ջրահեռացման ենթակառուցվածքների վերականգնման ծրագրի երրորդ փուլ</t>
  </si>
  <si>
    <t>Համաձայն պայմանագրի։</t>
  </si>
  <si>
    <t>«Ընդերքի մասին տեղեկատվության տրամադրման ծառայություններ»</t>
  </si>
  <si>
    <t>Հիմք է ընդունվել 2024-2026 թթ ՄԺԾԾ հայտը</t>
  </si>
  <si>
    <t>Ուղևորափոխադրումներից ստացված վնասի դիմաց «Հարավկովկասյան երկաթուղի» ՓԲԸ-ին սուբսիդիայի տրամադրում   </t>
  </si>
  <si>
    <t xml:space="preserve"> Պետական գույքի կառավարման համակարգման, խորհրդատվության և մոնիտորինգի ծառայություններ</t>
  </si>
  <si>
    <t>Ավելացումը պայմանավորված է  աշխատակիցների դրույքաչափերի բնականոն աճով և ամսական միջին աշխատավարձի բարձր լինելու հանգամանքով։</t>
  </si>
  <si>
    <t xml:space="preserve"> Պետական գույքի հաշվառման, գույքագրման, գնահատման, անշարժ գույքի պահառության, սպասարկման աշխատանքների և աճուրդների իրականացման  ծառայություններ</t>
  </si>
  <si>
    <t xml:space="preserve"> Շարժական գույքի պահառության կազմակերպում</t>
  </si>
  <si>
    <t xml:space="preserve"> Ավիացիոն ծառայությունների մատուցում</t>
  </si>
  <si>
    <t xml:space="preserve"> Ջրային տնտեսության ոլորտում պետական քաղաքականության մշակում, ծրագրերի համակարգում և մոնիտորինգ</t>
  </si>
  <si>
    <t>Այլընտրանքային ծառայության ապահովում</t>
  </si>
  <si>
    <t>2024թ․ հունվարի 22-ի դրությամբ ծառայող անձանց ծառայության ժամկետները կավարտվեն մինչև 2027թ․։ Սակայն, 2023թ․ ձմեռային զորակոչի շրջանակներում  Այլընտրանքային ծառայության հանրապետական հանձնաժողովի նոր նիստը կկայանա սույն թվականի հունվարի 25-ին, որի արդյունքներից ելնելով՝ 2027թ․ համար տեղեկատվությունը հնարավոր կլինի ներկայացնել 2024թ․ փետրվարի 1-ին։Տվյալ հանգամանքով պայմանավորված 2027թ․ համար նախնական գնահատականները արտացոլելու նպատակով  հիմք  է ընդունվել 2024 թվականի պետական բյուջեով նախատեսված թիվը։</t>
  </si>
  <si>
    <t>«Գերմանիայի զարգացման վարկերի բանկի (KFW) աջակցությամբ իրականացվող «Կովկասյան  էլեկտրահաղորդման ցանց I» Հայաստան-Վրաստան հաղորդիչ գիծ/ենթակայանների դրամաշնորհային ծրագիր» միջոցառ</t>
  </si>
  <si>
    <t>Միջոցառումը իրականացվում է KfW բանկի և ԵՆԲ աջակցությամբ: Ծախսերի հաշվարկը իրականացվել է՝ հիմնվելով խորհրդատուի հետ կնքված պայմանագրի վրա։   Ծախսերի հաշվարկի ճշգրտումը կիրականացվի մրցութային գործընթացի ավարտից և կապալառուների հետ պայմանագրերի  կնքումից հետո։ «Կովկասյան էլեկտրահաղորդման ցանց I» Հայաստան-Վրաստան հաղորդիչ գիծ/ենթակայանների ծրագրի դրամաշնորհային համաձայնագրերի ժամկետը լրանում է 2024թ. դեկտեմբերի 30-ին:</t>
  </si>
  <si>
    <t>ռադ․ թափ․ վնասազերծման ծառայություններ</t>
  </si>
  <si>
    <t>ՀՀ կառավարության 11.12.2003թ. թիվ 1653-Ն որոշմամբ, ռադիոակտիվ թափոնների վնասազերծման մատուցվող ծառայությունների սակագինը սահմանվել է 0 դրամ, հետևաբար բոլոր ծախսերի փոխհատուցումը իրականացվում է պետական բյուջեի կողմից` սուբսիդիա հոդվածով</t>
  </si>
  <si>
    <t>Ավիացիայի բնագավառում վերահսկողության և կանոնակարգման ծառայություններ</t>
  </si>
  <si>
    <t xml:space="preserve">Ծախսերի հաշվարկման համար հիմք է ընդունվել ՀՀ կառավարության 09.02.2023թ. թիվ 179-Ն որոշմամբ հատկացված աշխատակիցների կոմպետենցիաների մասով հավելավճարները, որոնք նախնական նախատեսվում են կիրառել 2024 թվականից։ Կոմպետենցիաների համար գումարը նախատեսված է բոլոր անհրաժեշտ կոմպետենցիաների միջինում յուրաքանչյուր մասնագիտական ստորաբաժանումների աշխատողիների մասով՝ 25-30% չափով, որպես նվազագույն սցենար: Փաստացի ավել ծախսերի դեպքում բյուջետային գործընթացի շրջանակներում յուրաքանչյուր տարի գումարը կճշգրտվի հայտերի միջոցով։  </t>
  </si>
  <si>
    <t xml:space="preserve"> Աշխատակազմի մասնագիտական կարողությունների զարգացում</t>
  </si>
  <si>
    <t>Հաշվարկները կատարվել են վերապատրաստումների պլանների հիման վրա, էական փոփոխության դեպքում նոր միայն կներկայացվի ծախսերի չափերի ճշգրտում։</t>
  </si>
  <si>
    <t>Մայրուղային աէրոնավիգացիոն ծառայությունների սպասարկում</t>
  </si>
  <si>
    <t>Ծախսերի հաշվարկը կատարված է ելնելով 2022 և 2023 թվականների փաստացի ցուցանիշների միջինացված մակարդակից։</t>
  </si>
  <si>
    <t>ՀՀ Քաղաքացիական ավիացիայի կոմիտեի տեխնիկական հագեցվածության բարելավում</t>
  </si>
  <si>
    <t>Ծախսերի մակարդակը պլանավորված է հաշվի առնելով նվազագույն պահանջները։</t>
  </si>
  <si>
    <t>Ֆինանսական աջակցություն տեղական ինքնակառավարման մարմիններին</t>
  </si>
  <si>
    <t xml:space="preserve">Պետական աջակցություն սահմանամերձ համայնքներին </t>
  </si>
  <si>
    <t>Տվյալ տարվա ծախսերի հաշվարկն իրականացվում է հիմք ընդունելով նախորդ տարվա  փաստացի իրականացված ծախսը։</t>
  </si>
  <si>
    <t xml:space="preserve"> ՀՀ մարզերին սուբվենցիաների տրամադրում՛ ենթակառուցվածքների զարգացման նպատակով</t>
  </si>
  <si>
    <t>Հիմքն են ընդունվել 2023թ փաստացի ծախսված միջոցները</t>
  </si>
  <si>
    <t>Մարզերում առաջնահերթ լուծում պահանջող հիմնախնդիրների լուծում</t>
  </si>
  <si>
    <t>1,848,193․2</t>
  </si>
  <si>
    <t>Հաշվի առնելով այն հանգամանքը, որ վերջին տարիներին աճել է ՀՀ մարզերում առաջնահերթ լուծում պահանջող հիմնախնդիրների լուծում պահանջող ծրագրերի իրականացման ծավալները (մասնավորապես 2022թ.-ին այն կազմել է շուրջ 1 մլրդ 478 մլն ՀՀ դրամ, 2023թ.-ին կազմել է շուրջ 1 մլրդ 848 մլն ՀՀ դրամ), ուստի անհրաժեշտություն է առաջացել 1212 ծրագրի 12025 միջոցառման համար ՀՀ պետական բյուջեի միջնաժամկետ ծախսային ծրագրով 2025թ.-ի համար պլանավորել 2 մլրդ ՀՀ դրամ, 2026թ.-ի համար 2.5 մլրդ ՀՀ դրամ, 2027թ.-ի համար 3 մլրդ ՀՀ դրամ: 2025, 2026 և 2027 թվականների համար պլանավորված թվերի աճողականությունը պայմանավորված է վերջին տարիներին 12025 ծրագրով իրականացվող աշխատանանքերի կայուն աճով: Միաժամանակ տեղեկացնում ենք, որ ՀՀ մարզերից 2024 թվականի համար արդեն իսկ ներկայացվել են մի շարք ծրագրեր, որոնք իրենց բնույթով հանդիսանում են առաջնահերթ լուծում պահանջող:</t>
  </si>
  <si>
    <t xml:space="preserve">Ազդակիր բնակավայրերի և համայնքների բյուջեներին հատկացվող համայնքային
 մասհանումներ </t>
  </si>
  <si>
    <t>1,051,213․5</t>
  </si>
  <si>
    <t xml:space="preserve"> Սուբվենցիաներ՛ մասնակցային բյուջետավորմամբ ձևավորված ծրագրերի իրականացման  համար</t>
  </si>
  <si>
    <t xml:space="preserve">Զարգացման Եվրասիական  բանկ                                                                                                                                                                                                                                                                                                                                                                                                                                                                         «Հանրային  շենքերում էներգախնայողության բարելավման  և  «կանաչ էներգիայի» զարգացմանը նպաստող մեխանիզմներ» դրամաշնորհային ծրագրի կառավարում և համակարգում  </t>
  </si>
  <si>
    <t>Ծրագիրը 2024թ․ին ավարտվում է։</t>
  </si>
  <si>
    <t>Պետական աջակցություն բնակարանների և անհատական բնակելի տների էներգաարդյունավետ վերանորոգման աշխատանքների իրականացմանը</t>
  </si>
  <si>
    <t>Բնակարանների և անհատական բնակելի տների էներգաարդյունավետ վերանորոգման աշխատանքների պետական աջակցության (Ռենովացիայի) ծրագրի ավարտը սահմանված է 2024թ. հուլիսի 1-ին և նախատեսված էր Ծրագրին  շուրջ 8000 շահառուի մասնակցություն։ 2024թ. պետական բյուջեից Ծրագրին հատկացված է 1.2 մլրդ դրամ։                         2023թ. դեկտեմբերի 8-ին ՀՀ տարածքային կառավարման և ենթակառուցվածքների նախարարությունում ՀՀ վարչապետի կողմից անցկացված խորհրդակցության արդյունքներով հանձնարարվել է ձեռնարկել միջոցներ էներգախնայողության նպատակով գործող Բնակարանների և անհատական բնակելի տների էներգաարդյունավետ վերանորոգման աշխատանքների պետական աջակցության (Ռենովացիայի) ծրագրի իրականացման ժամկետը երկարացնելու ուղղությամբ և համապատասխան իրավական ակտի նախագիծը սահմանված կարգով ներկայացնել ՀՀ վարչապետի աշխատակազմ։ ՀՀ տարածքային կառավարման և ենթակառուցվածքների նախարարությունը սահմանված կարգով շրջանառության էէ դրել ՀՀ կառավարության որոշման նախագիծ՝ Ծրագիրը ևս մեկ տարով երկարաձգելու նպատակով։ Հիշյալ նախագծով շահառուների կանխատեսվող թիվը ավելի քան 10000 է,  ուստի 2025-2027 թվականների համար կպահանջվի մոտավոր  հաշվարկներով 2 մլրդ դրամից ավելի։</t>
  </si>
  <si>
    <t>Մ-4679-2024</t>
  </si>
  <si>
    <t xml:space="preserve"> Գերմանիայի զարգացման բանկի աջակցությամբ իրականացվող Ախուրյան գետի ջրային ռեսուրսների ինտեգրված կառավարման փուլ 1 ծրագրով Ջրաձոր գյուղի վերաբնակեցման համար   ենթակառուցվածքների և բնակելի տների կառուցում</t>
  </si>
  <si>
    <t>Այս պահին ընթացքի մեջ են Նոր Ջրաձոր գյուղի նախագծահետազոտական աշխատանքները, որոնք նախատեսվում է ավարտել 2024թ. առաջին եռամսյակում։ Շինարաարական աշխատանքների նախահաշվային արժեքն այս պահին կազմում է մոտ 6.3 մլրդ դրամ, որն էլ ընդգրկվել է ներկայացված հաշվարկների հիմքում։</t>
  </si>
  <si>
    <t xml:space="preserve"> Ֆրանսիայի Հանրապետության կառավարության աջակցությամբ իրականացվող Վեդու ջրամբարի  և ոռոգման համակարգի կառուցում</t>
  </si>
  <si>
    <t>Ծրագրի տեխնիկական ավարտը նախատեսված է 31.12.2024թ., որի պատճառով  ետերաշխիքային  և որոշ այլ գումարների վճարումը կկատարվի 2025թ. սկզբին՝ ավարտական անհրաժեշտ փաստաթղթերի ստացումից և փորձարկումներից հետո։</t>
  </si>
  <si>
    <t xml:space="preserve"> 31002</t>
  </si>
  <si>
    <t xml:space="preserve"> Ոռոգման համակարգերի հիմնանորոգում</t>
  </si>
  <si>
    <t>Հաշվի առնելով, որ 2024թ. ձեռք են բերվելու նախագծանախահաշվային փաստաթղթեր, նախատեսվում է իրականացնել հիմնանորոգման աշխատանքներ։</t>
  </si>
  <si>
    <t xml:space="preserve"> Գերմանիայի զարգացման վարկերի բանկի աջակցությամբ իրականացվող Ախուրյան գետի ջրային ռեսուրսների ինտեգրված կառավարման ծրագրի շրջանակներում ջրային տնտեսության ենթակառուցվածքների հիմնանորոգում</t>
  </si>
  <si>
    <t>Հաշվարկները կատարվել են՝ հաշվի առնելով 2023թ. փաստացի ցուցանիշները - Կապսի ջրամբարի կառուցման մեկնարկման ուշացումները, փոխարժեքի այս պահին առկա ցուցանիշը։</t>
  </si>
  <si>
    <t xml:space="preserve"> 31005</t>
  </si>
  <si>
    <t xml:space="preserve"> Եվրասիական զարգացման բանկի աջակցությամբ իրականացվող ոռոգման համակարգերի զարգացման ծրագրի շրջանակներում ջրային տնտեսության ենթակառուցվածքների հիմնանորոգում</t>
  </si>
  <si>
    <t>Ծրագրով նախատեսված շինարարական աշխատանքները նախատեսվում է ավարտել 2024 թվականին, իսկ  ետերաշխիքային  և որոշ այլ գումարների վճարումը կկատարվի 2025թ. սկզբին՝ ավարտական անհրաժեշտ փաստաթղթերի ստացումից և փորձարկումներից հետո։</t>
  </si>
  <si>
    <t xml:space="preserve"> 31006</t>
  </si>
  <si>
    <t xml:space="preserve"> Գերմանիայի զարգացման վարկերի բանկի աջակցությամբ իրականացվող Ախուրյան գետի ջրային ռեսուրսների ինտեգրացված կառավարման ծրագրի երկրորդ փուլի շրջանակներում ջրային տնտեսության ենթակառուցվածքների հիմնանորոգում</t>
  </si>
  <si>
    <t xml:space="preserve"> 31009</t>
  </si>
  <si>
    <t xml:space="preserve"> Օրվա կարգավորման ջրավազանների կառուցում և վերակառուցում</t>
  </si>
  <si>
    <t>Նաագծանախահաշվային փաստաթղթերը համալիր փորձաքննության փուլում են, և նախատեսվում է իրականացնել շինարարական աշխատանքներ։</t>
  </si>
  <si>
    <t xml:space="preserve"> 31012</t>
  </si>
  <si>
    <t xml:space="preserve"> Գետերի և հեղեղատարների տեղամասերի ամրացման և մաքրման աշխատանքներ</t>
  </si>
  <si>
    <t xml:space="preserve"> 31013</t>
  </si>
  <si>
    <t xml:space="preserve"> Փոքր և միջին ջրամբարների կառուցում</t>
  </si>
  <si>
    <t xml:space="preserve"> 31014</t>
  </si>
  <si>
    <t xml:space="preserve"> Ջրամբարների վերականգնման և վերազինման աշխատանքներ</t>
  </si>
  <si>
    <r>
      <t xml:space="preserve">ՀՀ կառավարության 2021 թվականի նոյեմբերի 18-ի «Հայաստանի Հանրապետության կառավարության 2021-2026 թվականների գործունեության միջոցառումների ծրագիրը հաստատելու մասին» N 1902-Լ որոշմամբ հաստատված Հավելված N1-ի ՀՀ տարածքային կառավարման և ենթակառուցվածքների նախարարության  </t>
    </r>
    <r>
      <rPr>
        <sz val="12"/>
        <rFont val="GHEA Grapalat"/>
        <family val="3"/>
      </rPr>
      <t xml:space="preserve">88.1 </t>
    </r>
    <r>
      <rPr>
        <sz val="12"/>
        <color theme="1"/>
        <rFont val="GHEA Grapalat"/>
        <family val="3"/>
      </rPr>
      <t>միջոցառում։</t>
    </r>
  </si>
  <si>
    <t xml:space="preserve"> Արփա-Սևան ջրային համակարգի տեխնիկական վիճակի բարելավում</t>
  </si>
  <si>
    <r>
      <t xml:space="preserve">Արփա-Սևան թունելի անվտանգ շահագործման շարունակականության ապահովում, ՀՀ կառավարության 2021 թվականի նոյեմբերի 18-ի «Հայաստանի Հանրապետության կառավարության 2021-2026 թվականների գործունեության միջոցառումների ծրագիրը հաստատելու մասին» N 1902-Լ որոշմամբ հաստատված Հավելված N1-ի ՀՀ տարածքային կառավարման և ենթակառուցվածքների նախարարության  </t>
    </r>
    <r>
      <rPr>
        <sz val="12"/>
        <rFont val="GHEA Grapalat"/>
        <family val="3"/>
      </rPr>
      <t xml:space="preserve">84.1 </t>
    </r>
    <r>
      <rPr>
        <sz val="12"/>
        <color theme="1"/>
        <rFont val="GHEA Grapalat"/>
        <family val="3"/>
      </rPr>
      <t xml:space="preserve">միջոցառում։ </t>
    </r>
  </si>
  <si>
    <t xml:space="preserve"> 12004</t>
  </si>
  <si>
    <t xml:space="preserve"> Համաշխարհային բանկի աջակցությամբ իրականացվող Սոցիալական ներդրումների և տեղական զարգացման ծրագրի լրացուցիչ ֆինանսավորման վարկի շրջանակներում ՀՀ համայնքային և միջհամայնքային ենթակառուցվածքների որակի, օգտագործման և հասանելիության բարելավում</t>
  </si>
  <si>
    <t>Ծրագրով նախատեսված շինարարական աշխատանքների կատարման և որոշ մեքենա-մեխանիզմների մատարակարաման ավարտը, ինչպես նաև՝ ետերաշխիքային գումարների վճարումը նախատեսվում է 2025 թվականին։ Հաշվի է առնվել նաև ծրագրի չծախսված մնացորդը 1.01.2024թ: դրությամբ և 2024թ բյուջեի հատկացումները։</t>
  </si>
  <si>
    <t xml:space="preserve"> 12005</t>
  </si>
  <si>
    <t xml:space="preserve"> ԱՄՆ ՄԶԳ աջակցությամբ իրականացվող Տեղականինքնակառավարման և ապակենտրոնացման բարեփոխումների դրամաշնորհային ծրագրի շրջանակներումՏեղական կառավարման համակարգերի հզորացում,ապակենտրոնացման գործընթացներին աջակցություն,պիլոտային ծրագրերի իրականացում</t>
  </si>
  <si>
    <t>«Ճանապարհային ցանցի բարելավում» ծրագրի «Պետական նշանակության ավտոճանապարհների հիմնանորոգում»</t>
  </si>
  <si>
    <t xml:space="preserve">Ծախսերի հաշվարկը կատարվել է 1կմ-ի ճանապարհահատվածի հիմնանորոգման համար գնահատված միջինացված արժեքը:   </t>
  </si>
  <si>
    <t xml:space="preserve">«Ճանապարհային ցանցի բարելավում» ծրագրի «Տրանսպորտային օբյեկտների հիմնանորոգում» </t>
  </si>
  <si>
    <t xml:space="preserve"> 21006</t>
  </si>
  <si>
    <t xml:space="preserve"> Ասիական զարգացման բանկի աջակցությամբ իրականացվող Հյուսիս-հարավ միջանցքի զարգացման վարկային ծրագիր, Տրանշ 2</t>
  </si>
  <si>
    <t>Նախատեսվում է կառուցել I տեխնիկական կարգի (100 կմ/ժամ հաշվարկային արագությամբ) շուրջ 42-8.8=33.2 կմ ընդհանուր երկարությամբ ճանապարհահատված: Ներառվում է նաև տեխ հսկողություն, ՀՕՏԾ ծրագրի իրականացման խորհրդատվական ծառայությոններ</t>
  </si>
  <si>
    <t xml:space="preserve"> 21011</t>
  </si>
  <si>
    <t xml:space="preserve"> Ասիական զարգացման բանկի աջակցությամբ իրականացվող Հյուսիս-հարավ միջանցքի զարգացման վարկային ծրագիր, Տրանշ 3</t>
  </si>
  <si>
    <t>Նախատեսվում է կառուցել I տեխնիկական կարգի (100 կմ/ժամ հաշվարկային արագությամբ) շուրջ 42-33.2=8.8 կմ ընդհանուր երկարությամբ ճանապարհահատված: Ներառվում է նաև տեխ հսկողություն խորհրդատվական ծառայությոններ</t>
  </si>
  <si>
    <t xml:space="preserve"> 21012</t>
  </si>
  <si>
    <t xml:space="preserve"> Եվրասիական զարգացման բանկի աջակցությամբ իրականացվող Հյուսիս-հարավ միջանցքի զարգացման ծրագիր</t>
  </si>
  <si>
    <t>Նախատեսվում է վերակառուցել 32 կմ ընդհանուր երկարությամբ՝ Ագարակ (ԻԻՀ-ի սահման)-Վարդանիձոր-Քաջարանի թունելի ելք հատվածը։ Ներառվում է նաև տեխ հսկողություն, ՀՕՏԾ ծրագրի իրականացման, մոնիտորինգի և այլ խորհրդատվական ծառայությոններ</t>
  </si>
  <si>
    <t xml:space="preserve"> 21017</t>
  </si>
  <si>
    <t xml:space="preserve"> Հյուսիս-հարավ ճանապարհային միջանցքի զարգացման ծրագրի Սիսիան-Քաջարան 60կմ ճանապարհահատվածի կառուցում</t>
  </si>
  <si>
    <t>Նախատեսվում է վերակառուցել 60 կմ ընդհանուր երկարությամբ ճանապարհահատված։ Ներառվում է նաև տեխ հսկողություն, ՀՕՏԾ ծրագրի իրականացման, մոնիտորինգի և այլ խորհրդատվական ծառայությոններ</t>
  </si>
  <si>
    <t xml:space="preserve"> 21018</t>
  </si>
  <si>
    <t xml:space="preserve"> Հյուսիս-հարավ ճանապարհային միջանցքի զարգացման ծրագրի Քաջարանի թունելի և մոտեցումների կառուցում</t>
  </si>
  <si>
    <t>Նախատեսվում է իրականացնել Քաջարանի թունելի (երկարությունը՝ շուրջ 7.0 կմ) կառուցման և գոյություն ունեցող Մ2 Երևան-Երասխ-Գորիս-Մեղրի-Իրանի սահման շուրջ 4 կմ (Քաջարանի թունելի մուտք - Սիսիան-Քաջարան նախատեսվող նոր ճանապարհահատվածի խաչմերուկ) երկարությամբ հատվածի վերակառուցման աշխատանքները: Ներառվում է նաև տեխ հսկողություն:</t>
  </si>
  <si>
    <t>Միջպետական և հանրապետական նշանակության ավտոճանապարհների միջին նորոգում</t>
  </si>
  <si>
    <t>Մեր կողմից ներրկայացված ծախսերի հաշվարկման համար հրմք է հանդիսացել մինչ օրս միջին նորոգման ծրագրերով իրականացված ճանապարհաշինարարական աշխատանքներում՝ 1կմ-ի համար հաշվարկված միջինացված գինը։</t>
  </si>
  <si>
    <t xml:space="preserve"> 21021</t>
  </si>
  <si>
    <t xml:space="preserve"> Հյուսիս-հարավ ճանապարհային միջանցքի զարգացման ծրագրի Գյումրու շրջանցիկ ճանապարհի կառուցում և հիմնանորոգում, Տրանշ 5</t>
  </si>
  <si>
    <t xml:space="preserve">Նախատեսվում է իրականացնել II տեխնիկական կարգի (100 կմ/ժամ հաշվարկային արագությամբ) մինչև I կարգ ընդլայնման հնարավորությունով շուրջ 23 կմ ընդհանուր երկարությամբ կառուցում։ Ներառվում է նաև տեխ հսկողություն և ՀՕՏԾ ծրագրի իրականացման ծառայություններ:
</t>
  </si>
  <si>
    <t xml:space="preserve"> 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 երրորդ փուլ</t>
  </si>
  <si>
    <t>Նախագծահետազոտական աշխատանքները ավարտվել են 2023թ. և մեկնարկվել է կապալառուների ընտրության մրցութային գործընթացը։ Ուստի
հաշվարկները կատարվել են՝ հաշվի առնելով 2023թ. փաստացի ցուցանիշները, փոխարժեքի այս պահին առկա ցուցանիշը, կատարվելիք աշխատանքների ծավալը և ծրագրի վերջնաժամկետը՝ 2025 թվականի ավարտը։</t>
  </si>
  <si>
    <t xml:space="preserve"> 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t>
  </si>
  <si>
    <t>Հաշվարկները կատարվել են՝ հաշվի առնելով 2023թ. փաստացի ցուցանիշները, փոխարժեքի այս պահին առկա ցուցանիշը և ծրագրի վերջնաժամկետը՝ 2025 թվականի ավարտը։</t>
  </si>
  <si>
    <t xml:space="preserve"> 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t>
  </si>
  <si>
    <t xml:space="preserve"> Եվրոպակական ներդրումային բանկի աջակցությամբ իրականացվող Երևանի ջրամատակարարման բարելավման ծրագրի շրջանակներում ջրամատակարարման և ջրահեռացման ենթակառուցվածքների հիմնանորոգում</t>
  </si>
  <si>
    <t xml:space="preserve"> 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t>
  </si>
  <si>
    <t>Միջոցառումը նախատեսվում է ավարտել 2024 թվականին։</t>
  </si>
  <si>
    <t xml:space="preserve"> Գերմանիայի զարգացման վարկերի բանկի աջակցությամբ իրականացվող Լոռու (Վանաձորի) մարզի ջրամատակարարման և ջրահեռացման համակարգերի վերականգնման ծրագիր՛ երկրորդ փուլ</t>
  </si>
  <si>
    <t xml:space="preserve"> Ջրամատակարարման և ջրահեռացման համակարգի հիմնանորոգում</t>
  </si>
  <si>
    <t xml:space="preserve"> Ջրամատակարարման և ջրահեռացման համակարգի կառուցում</t>
  </si>
  <si>
    <t>Հաշվի առնելով, որ 2024թ. ձեռք են բերվելու նախագծանախահաշվային փաստաթղթեր, նախատեսվում է իրականացնել շինարարական աշխատանքներ։</t>
  </si>
  <si>
    <t xml:space="preserve"> Պետական գույքի կառավարման կոմիտեի տեխնիկական հագեցվածության բարելավում</t>
  </si>
  <si>
    <t xml:space="preserve"> Պետական գույքի կառավարման կոմիտեի ենթակայության շենքերի պայմանների բարելավում</t>
  </si>
  <si>
    <t xml:space="preserve"> Հանրային իշխանության մարմիններին տրանսպորտային միջոցներով ապահովվածության բարելավում</t>
  </si>
  <si>
    <t xml:space="preserve"> Ջրային կոմիտեի տեխնիկական հագեցվածության բարելավում</t>
  </si>
  <si>
    <t>«Գերմանիայի զարգացման վարկերի բանկի (KFW) աջակցությամբ իրականացվող «Կովկասյան  էլեկտրահաղորդման ցանց I» Հայաստան-Վրաստան հաղորդիչ գիծ/ենթակայանների դրամաշնորհային ծրագրի շրջանակներում իրականացվող ներդրումներ» միջոցառում</t>
  </si>
  <si>
    <t>Միջոցառումը իրականացվում է KfW բանկի և ԵՆԲ աջակցությամբ: Ծախսերի հաշվարկը իրականացվել է՝ հիմնվելով ծրագրի խորհրդատուի կողմից ներկայացված կանխատեսումների վրա։   Ծախսերի հաշվարկի ճշգրտումը կիրականացվի մրցութային գործընթացի ավարտից և կապալառուների հետ պայմանագրերի  կնքումից հետո։ «Կովկասյան էլեկտրահաղորդման ցանց I» Հայաստան-Վրաստան հաղորդիչ գիծ/ենթակայանների ծրագրի դրամաշնորհային համաձայնագրերի ժամկետը լրանում է 2024թ. դեկտեմբերի 30-ին:</t>
  </si>
  <si>
    <t>ՀՀ մարզերում առաջնահերթ լուծում պահանջող անհետաձգելի ծրագրերի իրականացում</t>
  </si>
  <si>
    <t>Հաշվի առնելով այն հանգամանքը, որ վերջին տարիներին աճել է ՀՀ մարզերում առաջնահերթ լուծում պահանջող անհետաձգելի ծրագրերի իրականացման ծավալները (մասնավորապես 2022թ.-ին այն կազմել է շուրջ 454 մլն ՀՀ դրամ, 2023թ.-ին կազմել է շուրջ 1 մլրդ 392 մլն ՀՀ դրամ), ուստի անհրաժեշտություն է առաջացել 1212 ծրագրի 32001 միջոցառման համար ՀՀ պետական բյուջեի միջնաժամկետ ծախսային ծրագրով 2025թ.-ի համար պլանավորել 1.5 մլրդ ՀՀ դրամ, 2026թ.-ի համար 2 մլրդ ՀՀ դրամ, 2027թ.-ի համար 2.5 մլրդ ՀՀ դրամ: 2025, 2026 և 2027 թվականների համար պլանավորված թվերի աճողականությունը պայմանավորված է վերջին տարիներին 32001 ծրագրով իրականացվող աշխատանանքերի կայուն աճով:
Միաժամանակ տեղեկացնում ենք, որ ՀՀ մարզերից 2024 թվականի համար արդեն իսկ ներկայացվել են մի շարք ծրագրեր, որոնք իրենց բնույթով հանդիսանում են անհետաձգելի:</t>
  </si>
  <si>
    <t>Զարգացման Եվրասիական  բանկ                                                                                                                                                                                                                                                                                                                                                                                                                                                                            «Հանրային  շենքերում էներգախնայողության բարելավման  և  «կանաչ էներգիայի» զարգացմանը նպաստող մեխանիզմներ» դրամաշնորհային ծրագրի շրջանակներում հիմնանորոգման աշխատանքներ</t>
  </si>
  <si>
    <t>6540820․6</t>
  </si>
  <si>
    <t xml:space="preserve"> Տարածքային կառավարման ոլորտում քաղաքականության մշակում, ծրագրերի համակարգում և մոնիտորինգի իրականացում</t>
  </si>
  <si>
    <t xml:space="preserve"> Ոռոգման համակարգի առողջացում</t>
  </si>
  <si>
    <t xml:space="preserve"> Որոտան-Արփա-Սևան թունելի ջրային համակարգի կառավարում</t>
  </si>
  <si>
    <t xml:space="preserve"> Սոցիալական ներդրումների և տեղական զարգացման ծրագիր</t>
  </si>
  <si>
    <t xml:space="preserve"> Տարածքային կառավարման և տեղական ինքնակառավարման մարմինների ներկայացուցիչների մասնագիտական վերապատրաստում և հատուկ ուսուցում</t>
  </si>
  <si>
    <t xml:space="preserve"> Կոշտ թափոնների կառավարում</t>
  </si>
  <si>
    <t xml:space="preserve"> Ճանապարհային ցանցի բարելավում</t>
  </si>
  <si>
    <t xml:space="preserve"> Ջրամատակարարաման և ջրահեռացման բարելավում</t>
  </si>
  <si>
    <t xml:space="preserve"> Ընդերքի ուսումնասիրության, օգտագործման և պահպանման ծառայություններ</t>
  </si>
  <si>
    <t xml:space="preserve"> Երկաթուղային ցանցի զարգացում</t>
  </si>
  <si>
    <t xml:space="preserve"> Պետական գույքի կառավարում</t>
  </si>
  <si>
    <t xml:space="preserve"> Ջրային տնտեսության ոլորտում ծրագրերի համակարգում և մոնիտորինգ</t>
  </si>
  <si>
    <t xml:space="preserve"> Այլընտրանքային աշխատանքային ծառայություն</t>
  </si>
  <si>
    <t xml:space="preserve"> Էլեկտրաէներգետիկ համակարգի զարգացման ծրագիր</t>
  </si>
  <si>
    <t xml:space="preserve"> Ռադիոակտիվ թափոնների կառավարում</t>
  </si>
  <si>
    <t xml:space="preserve"> Ավիացիայի բնագավառում վերահսկողության և կանոնակարգման ապահովում</t>
  </si>
  <si>
    <t xml:space="preserve"> Տարածքային զարգացում</t>
  </si>
  <si>
    <t>Էներգաարդյունավետության ծրագիր</t>
  </si>
  <si>
    <t>Մ-4693-2024</t>
  </si>
  <si>
    <t>Մ-4759-2024</t>
  </si>
  <si>
    <t>Վտանգավոր հիդրոօդերևութաբանական երևույթների  կանխատեսման և վաղօրոք նախազգուշացման համակարգի հիմնում</t>
  </si>
  <si>
    <t>Սևանա լճի առափնյա հատվածներում ծովի մակարդակից 1901,5 մետր բացարձակ նիշից ցածր ապօրինի կառուցված և քանդման ենթակա շենք-շինությունների ապամոնտաժման (քանդման) աշխատանքներ</t>
  </si>
  <si>
    <t>Փխրուտի և Նազիկի փակված պոչամբարների ռեկուլտիվացման աշխատանքներ</t>
  </si>
  <si>
    <t xml:space="preserve">ՀՀ 2023 թվականի պետական բյուջեով հատկացված 137,9 հազ․դրամով կազմվել են Փխրուտի և Նազիկի փակված պոչամբարների ռեկուլտիվացիայի նախագծանախահաշվային փաստաթղթերը (բացատրագրերը կցվում են)։ Աշխատանքները առաջարկվում է իրականացնել 2025 թվականի պետական բյուջեի շրջանակներում։ </t>
  </si>
  <si>
    <t xml:space="preserve">ՀՀ կառավարության 24 օգոստոսի 2023թ․N 1428-Ն որոշմամբ հատկացված 6,6 մլն․դրամով կազմվել է Սևանա լճի առափնյա հատվածներում ծովի մակարդակից մինչև 1901.5մ բացարձակ նիշից ցածր, ընդհանուր 6520,66 քմ. մակերեսով 282 միավոր շենք-շինությունների ապամոնտաժման (քանդման) նախագծա-նախահաշվային փաստաթղթերի փաթեթը, համաձայն որի քանդման աշխատանքների ծախսը կկազմի 239,6 մլն․դրամ, աշխատանքները առաջարկվում է իրականացնել 2025 թվականի պետական բյուջեի շրջանակներում։ </t>
  </si>
  <si>
    <t xml:space="preserve">Ընդարձակված ռադիոլոկացիոն դիտարկումների ցանց, Դիտարկումների  տվյալների հավաքման արդյունավետ և այժմեական համակարգ, որը հնարավորություն    կտա բարելավել համակարգի գործունեության  հիմնական ուղղություններով   գործող պարտավորությունների կատարումը,
ՀՀ հիդրոօդերևութաբանական  անվտանգության ապահովման բարելավում****
</t>
  </si>
  <si>
    <t xml:space="preserve"> Բնական պաշարների և բնության հատուկ պահպանվող տարածքների կառավարում և պահպանում</t>
  </si>
  <si>
    <t xml:space="preserve"> Շրջակա միջավայրի վրա ազդեցության գնահատում և մոնիթորինգ</t>
  </si>
  <si>
    <t xml:space="preserve"> Անտառների կառավարում</t>
  </si>
  <si>
    <t xml:space="preserve"> Անտառային ոլորտում քաղաքականության մշակման և աջակցության ծառայությունների, ծրագրերի համակարգում</t>
  </si>
  <si>
    <t>Մ-4782-2024</t>
  </si>
  <si>
    <t>ՀՀ պետական եկամուտների կոմիտեի տեխնիկական հագեցվածության բարելավում</t>
  </si>
  <si>
    <t>Նախատեսված միջոցներն ուղղվելու են Կոմիտեի տեխնիկական հագեցվածության բարելավմանը: 
2025-2027թթ. համար հիմք են հանդիսացել 2024թ. պ/բ-ով նախատեսված ֆինանսական ցուցանիշները:</t>
  </si>
  <si>
    <t>ՀՀ պետական եկամուտների կոմիտեի  շենքային ապահովվածության բարելավում</t>
  </si>
  <si>
    <t>Նախատեսված միջոցներն ուղղվելու են Կոմիտեի կարիքների համար նոր շենքերի կառուցմանը: 2025-2027թթ. ֆինանսական ցուցանիշների համար հիմք են հանդիսացել կանխատեսվող կառուցման աշխատանքներ:</t>
  </si>
  <si>
    <t>ՀՀ պետական եկամուտների կոմիտեի  շենքային պայմանների բարելավում</t>
  </si>
  <si>
    <t>Նախատեսված միջոցներն ուղղվելու են Կոմիտեի գոյություն ունեցող շենքերի կապիտալ վերանորոգմքանը: 2025-2027թթ. ֆինանսական ցուցանիշների համար հիմք են հանդիսացել կանխատեսվող կապիտակ վերանորոգման աշխատանքները:</t>
  </si>
  <si>
    <t>Վերակառուցման և զարգացման եվրոպական բանկի աջակցությամբ իրականացվող «Մեղրիի սահմանային անցակետի ծրագիր» դրամաշնորհային  ծրագրի շրջանակներում ՀՀ պետական եկամուտների կոմիտեի նոր շենքային պայմանների ապահովում</t>
  </si>
  <si>
    <t>Նշված միջոցները նախատեսվում է ուղղել Կոմիտեի Մեղրիի սահմանային անցակետի արդիականացմանը: 2025-2027թթ. ֆինանսական միջոցների կանխատեսումների համար հիմք է հանդիսացել վարկային և դրամաշնորհային համաձայնագրերով նախատեսված միջոցների չափերը, 2023թ. փաստացի կատարված ծախսերը և 2024թ. նախատեսված ֆինանսական ցուցանիշները:</t>
  </si>
  <si>
    <t xml:space="preserve"> 31007</t>
  </si>
  <si>
    <t>Վերակառուցման և զարգացման եվրոպական բանկի աջակցությամբ իրականացվող «Մեղրիի սահմանային անցակետի ծրագիր» վարկային ծրագրի շրջանակներում ՀՀ պետական եկամուտների կոմիտեի նոր շենքային պայմանների ապահովում</t>
  </si>
  <si>
    <t>Վերակառուցման և զարգացման Եվրոպական բանկի աջակցությամբ իրականացվող Սյունիքի մարզում արտաքին տնտեսական գործունեության մասնակիցների սպասարկման կենտրոնի շենքային պայմանների ապահովում</t>
  </si>
  <si>
    <t>Նշված միջոցներ նախատեսվում է ուղղել ՀՀ Սյունիքի մարզում արտաքին տնտեսական գործունեության մասնակիցների սպասարկման կենտրոնի կառուցմանը: 2025-2027թթ. համար հիմք են հանդիսացել 2024-2026թթ. ՄԺԾԾ-ով հաստատված ցուցանիշները:</t>
  </si>
  <si>
    <t>Հարկային և մաքսային ծառայություններ</t>
  </si>
  <si>
    <t>Նշված միջոցներն ուղղվելու են ՊԵԿ-ի (այսուհետ` Կոմիտե) ապարատի գծով պահպանման ծախսերի ֆինանսավորմանը: 2025-2027թթ. ֆինանսական ցուցանիշների աճը 2024թ. նկատմամբ պայմանավորված է Կոմիտեի աշխատակիցների KPI-ի հիման վրա հավելավճարների նախատեսմամբ:</t>
  </si>
  <si>
    <t>Հարկային և մաքսային ծառայողների վերապատրաստում</t>
  </si>
  <si>
    <t>Նշված միջոցները նախատեսվում է ուղղել Կոմիտեի «Ուսումնական կենտրոն» ՊՈԱԿ-ի պահպանման ծախսերի ֆինանսավորմանը: «Ուսումնական կենտրոն» ՊՈԱԿ-ի 
2025-2027թթ. համար 2024թ. նկատմամբ աճը պայմանավորված է ՊՈԱԿ-ի կողմից հարկային  և մաքսային բարեփոխումների արդյունքում նախատեսվող ուսումնական դասընթացների քանակի աճով:</t>
  </si>
  <si>
    <t>Դրոշմապիտակների ձեռքբերում</t>
  </si>
  <si>
    <t>Ծախսերի հաշվարկման համար հիմք է հանդիսացել ձեռքբերվող դրոշմապիտակների միավորի գները և տվյալ տարիների համար պահանջվող քանակները: 2025-2027թթ. համար նախնական գնահատումներով պահպանվել են 2024թ. պ/բ-ով նախատեսված ֆինանսական ցուցանիշները:</t>
  </si>
  <si>
    <t>Փորձաքննությունների ծառայություններ</t>
  </si>
  <si>
    <t>Նշված միջոցներն ուղղվելու են ՊԵԿ-ի փորձաքննության ծառայությունների ձեռքբերմանը: 2025-2027թթ. ծախսերի հաշվարկման համար հիմք է հանդիսացել 2023թ. փաստացի կատարողականը` կիրառելով յուրաքանչյուր տարվա համար 10% աճ նախորդ տարվա նկատմամբ:</t>
  </si>
  <si>
    <t>Հայաստանի Հանրապետության մաքսային կցորդների գործունեության ապահովում</t>
  </si>
  <si>
    <t>Նախատեսված միջոցներն ուղղվելու են Կոմիտեի մաքսային կցորդների գծով ծախսերի ֆինանսավորմանը: 2025-2027թթ. համար պահպանվել են 2024թ. պ/բ-ով նախատեսված ֆինանսական ցուցանիշները, որոնք տարադրամի փոփոխության դեպքում կաարող են վերանայվել:</t>
  </si>
  <si>
    <t>Օտարերկրյա պետությունների ուսումնական հաստատություններ գործուղված մաքսային ծառայողների ուսուցում և վերապատրաստում</t>
  </si>
  <si>
    <t>Նշված միջոցները նախատեսվում է ուղղել Կոմիտեի մաքսանենգության դեմ պայքարի վարչության շնագիտական կենտրոնի աշխատակիցների արտերկրում վերապատրաստմանը: 2025-2027թթ. համար պահպանվել են 2024թ. պ/բ-ով նախատեսված ֆինանսական ցուցանիշները:</t>
  </si>
  <si>
    <t>Հիպոթեքային վարկի վճարված տոկոսների գումարի վերադարձ</t>
  </si>
  <si>
    <t>Նշված միջոցները նախատեսվում է ուղղել հիպոթեքային վարկի վճարված տոկոսների հետ կապված գումարի վերադարձին: Հաշվարկներն իրականացվել են նախնական վերլուծությունների հիման վրա:</t>
  </si>
  <si>
    <t xml:space="preserve"> Հարկային և մաքսային ծառայություններ</t>
  </si>
  <si>
    <t>Հիպոթեկային վարկի վճարված տոկոսների գումարի վերադարձ</t>
  </si>
  <si>
    <t>Պահանջվող ծախսերի գնահատականը կանխատեսվել է՝ հաշվի առնելով էկոպարեկային ծառայության ստեղծմամբ պայմանավորված պետական բյուջեից լրացուցիչ ընթացիկ ծախսերի գծով հաշվարկված գնահատականները:</t>
  </si>
  <si>
    <t>Կազմվել է վարչության կողմից:Տեղեկատվությունը կտրամադրվի 2025-2027թթ Միջնաժամկետ ծախսերի ծրագրի շրջանակում</t>
  </si>
  <si>
    <t xml:space="preserve"> Պետական հատվածի արդիականացման ծրագիր</t>
  </si>
  <si>
    <t xml:space="preserve"> Համաշխարհային բանկի աջակցությամբ իրականացվող Պետական հատվածի արդիականացման երրորդ ծրագիր</t>
  </si>
  <si>
    <t xml:space="preserve"> Համաշխարհային բանկի աջակցությամբ իրականացվող Պետական հատվածի արդիականացման չորրորդ ծրագրի շրջանակներում խորհրդատվական ծառայությունների ձեռքբերում</t>
  </si>
  <si>
    <t xml:space="preserve"> Աջակցություն հասարակական և այլ կազմակերպություններին </t>
  </si>
  <si>
    <t xml:space="preserve"> Աջակցություն քաղաքական կուսակցություններին՝ հասարակական կազմակերպություններին՝ արհմիություններին</t>
  </si>
  <si>
    <t xml:space="preserve"> Պետական կառավարման գործընթացներին քաղաքացիական հասարակության մասնակցության ապահովում</t>
  </si>
  <si>
    <t>Աջակցություն հասարակական կազմակերպություններին</t>
  </si>
  <si>
    <t>Հանրության շրջանում պետության և պետականության վերաբերյալ ընկալումների մասին հետազոտություն</t>
  </si>
  <si>
    <t xml:space="preserve"> Պետական աջակցություն ազգային փոքրամասնությունների հասարակական կազմակերպություններին</t>
  </si>
  <si>
    <t>Աջակցություն «ՀՀ վետերանների միավորում» հասարակական կազմակերպությանը</t>
  </si>
  <si>
    <t xml:space="preserve"> Աջակցություն մարդասիրական ծրագրերին</t>
  </si>
  <si>
    <t>Մարդասիրական բեռներ փոխադրող օտարերկրյա օդանավերի  աերոնավիգացիոն սպասարկման, թռիչք-վայրէջքի, օդանավերի կանգառի և վերգետնյա սպասարկումների ու մատուցված ծառայությունների փոխհատուցում.</t>
  </si>
  <si>
    <t xml:space="preserve"> Միջազգային  կազմակերպություններին վճարումներ
</t>
  </si>
  <si>
    <t xml:space="preserve"> Հանրային իրազեկում</t>
  </si>
  <si>
    <t xml:space="preserve"> Հանրային իրազեկում և հասարակական-քաղաքագիտական հետազոտություններ</t>
  </si>
  <si>
    <t xml:space="preserve"> Պետական մամուլի հրատարակում</t>
  </si>
  <si>
    <t xml:space="preserve"> Տեղեկատվության ձեռքբերման, պահպանման և արխիվացման ծառայություններ</t>
  </si>
  <si>
    <t xml:space="preserve">ՀՀ վերաբերյալ պաշտոնական տեղեկատվության ապահովում՝ նաև միջազգային հարթակներում </t>
  </si>
  <si>
    <t xml:space="preserve"> «Միր» միջպետական հեռուստառադիոընկերության ՀՀ մասնաբաժնի վճար</t>
  </si>
  <si>
    <t>«Հանրային կապերի և տեղեկատվության կենտրոն» ՊՈԱԿ-ի շենքային պայմանների բարելավման ապահովում</t>
  </si>
  <si>
    <t xml:space="preserve"> Քաղաքացիական ծառայողների վերապատրաստում</t>
  </si>
  <si>
    <t xml:space="preserve"> ՀՀ քաղաքացիական ծառայողների վերապատրաստման ծառայություններ</t>
  </si>
  <si>
    <t xml:space="preserve"> ՀՀ Վարչապետի լիազորությունների իրականացման ապահովում</t>
  </si>
  <si>
    <t xml:space="preserve"> Ծառայությունների, ծրագրերի համակարգում</t>
  </si>
  <si>
    <t xml:space="preserve"> Աջակցություն ՀՀ վարչապետի աշխատակազմի ներքո գործող Արդյունահանող ճյուղերի թափանցիկության նախաձեռնության քարտուղարությանը</t>
  </si>
  <si>
    <t xml:space="preserve"> Սպասարկման ծառայություններ</t>
  </si>
  <si>
    <t xml:space="preserve"> ՀՀ բարձրաստիճան պաշտոնատար անձանց գերատեսչական առանձնատների և տարածքների շահագործում և սպասարկում</t>
  </si>
  <si>
    <t>Համաշխարհային բանկի աջակցությամբ իրականացվող առևտրի և ենթակառուցվածքների զարգացման ծրագիր</t>
  </si>
  <si>
    <t>Աշխատակազմի մասնագիտական զարգացման ծառայություններ</t>
  </si>
  <si>
    <t>Պետական աջակցություն Հայաստանի Հանրապետությունում և արտերկրում ներդրումային և ՊՄԳ ծրագրերի իրականացմանը</t>
  </si>
  <si>
    <t xml:space="preserve">Քաղաքացիական ծառայության կադրերի ռեզերվում գտնվող քաղաքացիական ծառայողների իրավունքների ապահովում </t>
  </si>
  <si>
    <t>Խորհրդատվական և վերլուծական ծառայություններ</t>
  </si>
  <si>
    <t xml:space="preserve"> Հայաստան-Սփյուռք գործակցության ծրագիր</t>
  </si>
  <si>
    <t xml:space="preserve"> Քայլ դեպի տուն</t>
  </si>
  <si>
    <t xml:space="preserve"> Սփյուռքի երիտասարդ առաջնորդների վերապատրաստում</t>
  </si>
  <si>
    <t xml:space="preserve"> Հայաստան-Սփյուռք գործակցության վերաբերյալ իրազեկման ապահովում</t>
  </si>
  <si>
    <t xml:space="preserve"> Աշխատանք Սփյուռքի համայնքներում</t>
  </si>
  <si>
    <t>«իԳործ» սփյուռքահայ մասնագետների ներգրավում ՀՀ  պետական կառավարման համակարգում</t>
  </si>
  <si>
    <t>Հայրենադարձության և ինտեգրման կենտրոն</t>
  </si>
  <si>
    <t>Աջակցություն սփյուռքի համայնքներին</t>
  </si>
  <si>
    <t>Աջակցություն սփյուռքի հայալեզու լրատվամիջոցներին</t>
  </si>
  <si>
    <t>Սփյուռքի ոլորտի միջոցառումներ</t>
  </si>
  <si>
    <t xml:space="preserve"> Տեսչական վերահսկողության ծրագիր</t>
  </si>
  <si>
    <t xml:space="preserve"> Առողջապահության ոլորտում վերահսկողության ծառայություններ</t>
  </si>
  <si>
    <t xml:space="preserve"> Բնապահպանության ոլորտում վերահսկողության ծառայություններ</t>
  </si>
  <si>
    <t xml:space="preserve"> Կրթության ոլորտում վերահսկողության ծառայություններ</t>
  </si>
  <si>
    <t xml:space="preserve"> Շուկայի վերահսկողության ծառայություններ</t>
  </si>
  <si>
    <t xml:space="preserve"> Արտադրանքի և որակի վերահսկողության ծառայություններ</t>
  </si>
  <si>
    <t xml:space="preserve"> Քաղաքաշինության և ճարտարապետության բնագավառում վերահսկողության ծառայություններ</t>
  </si>
  <si>
    <t>Սննդամթերքի անվտանգության բնագավառում վերահսկողության իրականացման ծառայություններ</t>
  </si>
  <si>
    <t>Տեսչական վերահսկողության շրջանակներում սննդամթերքի լաբորատոր հետազոտություն</t>
  </si>
  <si>
    <t>Գյուղատնտեսական կենդանիների հիվանդությունների, կենդանական ծագում ունեցող հումքի և նյութի վերահսկողության իրականացում՝ լաբորատոր փորձարկումների միջոցով</t>
  </si>
  <si>
    <t>Դաբաղ հիվանդության դեմ պատվաստումների իրականացման վերահսկողություն</t>
  </si>
  <si>
    <t>Գյուղատնտեսական մշակաբույսերի և բույսերի պաշտպանության միջոցների վերահսկողություն՝ լաբորատոր փորձարկումների միջոցով</t>
  </si>
  <si>
    <t>Կենդանական ծագման մթերքում մնացորդային նյութերի վերահսկողություն</t>
  </si>
  <si>
    <t xml:space="preserve">Առողջապահական և աշխատանքի տեսչական վերահսկողության շրջանակներում լաբորատոր փորձաքննության ապահովում </t>
  </si>
  <si>
    <t xml:space="preserve"> Արդյունահանող ճյուղերի զարգացման ծրագիր</t>
  </si>
  <si>
    <t xml:space="preserve"> Համաշխարհային բանկի աջակցությամբ իրականացվող «Հանքարդյունաբերական ոլորտի քաղաքականության ծրագիր»  դրամաշնորհային ծրագիր</t>
  </si>
  <si>
    <t xml:space="preserve"> Համաշխարհային բանկի աջակցությամբ իրականացվող «Հայաստանի արդյունահանող ճյուղերի թափանցիկության նախաձեռնությանն աջակցություն» դրամաշնորհային ծրագիր</t>
  </si>
  <si>
    <t xml:space="preserve"> Համաշխարհային բանկի աջակցությամբ իրականացվող «Հայաստանի արդյունահանող ճյուղերի թափանցիկության նախաձեռնությանն աջակցություն.լրացուցիչ ֆինանսավորում» դրամաշնորհային ծրագիր</t>
  </si>
  <si>
    <t xml:space="preserve"> Տոների և հիշատակի օրերի ծրագիր</t>
  </si>
  <si>
    <t xml:space="preserve"> Հայաստանի Հանրապետության անկախության հռչակման տարեդարձին նվիրված միջոցառումներ</t>
  </si>
  <si>
    <t xml:space="preserve"> Քաղաքացու օրվան նվիրված միջոցառումներ</t>
  </si>
  <si>
    <t xml:space="preserve"> «Մեր ժամանակների հերոսը» միջոցառում, մրցանակաբաշխություն</t>
  </si>
  <si>
    <t xml:space="preserve"> ՀՀ զարգացման գործընթացներում Սփյուռքի ներուժի ներգրավում</t>
  </si>
  <si>
    <t xml:space="preserve"> Սփյուռքի համայնքների ուսումնասիրությունների իրականացում և ներուժի բացահայտում</t>
  </si>
  <si>
    <t xml:space="preserve"> Համահայկական համաժողովների իրականացում</t>
  </si>
  <si>
    <t>Սփյուռքի մարդկային ներուժի վերհանում, դրա քարտեզագրում և տեղեկատվական բազայի ստեղծում</t>
  </si>
  <si>
    <t>Միջազգային դատարաններում, միջազգային արբիտրաժներում և այլ միջազգային ատյաններում ՀՀ շահերի ներկայացում և պաշտպանություն, դրանց կողմից ընդունված վճիռների և որոշումների կատարման ապահովում</t>
  </si>
  <si>
    <t>Հայաստանի Հանրապետության շահերի ներկայացմանն ու պաշտպանությանն ուղղված փաստաբանական, իրավաբանական ծառայություններ</t>
  </si>
  <si>
    <t>Միջազգային արբիտրաժային տրիբունալի կամ օտարերկրյա ներպետական դատարանի ծախսերի վճարում</t>
  </si>
  <si>
    <t>Այլ միջոցառումների փաստ</t>
  </si>
  <si>
    <t xml:space="preserve"> Համաշխարհային բանկի աջակցությամբ իրականացվող Պետական հատվածի արդիականացման երրորդ  ծրագրի շրջանակներում էլեկտրոնային կառավարման համակարգերի և սարքավորումների ձեռքբերում</t>
  </si>
  <si>
    <t xml:space="preserve"> Համաշխարհային բանկի աջակցությամբ իրականացվող Պետական հատվածի արդիականացման չորրորդ  ծրագրի շրջանակներում էլեկտրոնային կառավարման համակարգերի և սարքավորումների ձեռքբերում</t>
  </si>
  <si>
    <t xml:space="preserve"> Ռուսաստանի Դաշնության կողմից Հայաստանի Հանրապետությանն անհատույց ֆինանսական օգնության դրամաշնորհային ծրագիր շրջանակներում ԿՖԿՏՀ ներդրում</t>
  </si>
  <si>
    <t xml:space="preserve">Մաքսային միությանը և Միասնական տնտեսական տարածությանը ՀՀ անդամակցության շրջանակում միասնական տեղեկատվական տարածության և ինտեգրացված տեղեկատվական համակարգերի ստեղծում և պահպանում
</t>
  </si>
  <si>
    <t xml:space="preserve"> ՀՀ վարչապետի աշխատակազմի տեխնիկական հագեցվածության բարելավում</t>
  </si>
  <si>
    <t xml:space="preserve"> Համաշխարհային բանկի աջակցությամբ իրականացվող առևտրի և ենթակառուցվածքների զարգացման ծրագրի շրջանակներում սարքավորումների ձեռքբերում</t>
  </si>
  <si>
    <t>Պետական սեփականություն հանդիսացող կառույցում ընդհանուր նշանակության մեքենաների, սարքավորումների բարելավում</t>
  </si>
  <si>
    <t>Պետական սեփականություն հանդիսացող կառավարական շենքերի վերակառուցում, հիմնանորոգում</t>
  </si>
  <si>
    <t>Պետական սեփականություն հանդիսացող շենքի կառուցում</t>
  </si>
  <si>
    <t>Բնապահպանության և ընդերքի տեսչական մարմնի կարողությունների զարգացում և տեխնիկական հագեցվածության ապահովում</t>
  </si>
  <si>
    <t xml:space="preserve"> Կրթության տեսչական մարմնի կարողությունների զարգացում և տեխնիկական հագեցվածության ապահովում</t>
  </si>
  <si>
    <t xml:space="preserve"> Շուկայի վերահսկողության տեսչական մարմնի կարողությունների զարգացում և տեխնիկական հագեցվածության ապահովում</t>
  </si>
  <si>
    <t xml:space="preserve"> Քաղաքաշինության, տեխնիկական և հրդեհային անվտանգության տեսչական մարմնի կարողությունների զարգացում և տեխնիկական հագեցվածության ապահովում</t>
  </si>
  <si>
    <t xml:space="preserve"> Առողջապահության և աշխատանքի տեսչական մարմնի կարողությունների զարգացում և տեխնիկական հագեցվածության ապահովում
</t>
  </si>
  <si>
    <t xml:space="preserve"> Սննդամթերքի անվտանգության տեսչական մարմնի տեխնիկական հագեցվածության բարելավում</t>
  </si>
  <si>
    <t>Տեսչական մարմիններին տրանսպորտային միջոցների ապահովում</t>
  </si>
  <si>
    <t xml:space="preserve"> Քաղաքաշինության, տեխնիկական և հրդեհային անվտանգության տեսչական մարմնի վարչական շենքի պայմանների բարելավում </t>
  </si>
  <si>
    <t xml:space="preserve"> ՀՀ առողջապահական և աշխատանքի տեսչական մարմնի շենքային պայմանների բարելավում</t>
  </si>
  <si>
    <t xml:space="preserve"> - Այլ ընթացիկ դրամաշնորհներ</t>
  </si>
  <si>
    <t>Ծառայությունների և ապրանքների ձեռքբերում</t>
  </si>
  <si>
    <t xml:space="preserve"> - Ընթացիկ դրամաշնորհներ պետական և համայնքների ոչ առևտրային կազմակերպություններին</t>
  </si>
  <si>
    <t xml:space="preserve"> - Կրթական, մշակութային և սպորտային նպաստներ բյուջեից</t>
  </si>
  <si>
    <t xml:space="preserve"> ՀՀ  կրթության , գիտության, մշակույթի և սպորտի նախարարություն</t>
  </si>
  <si>
    <t xml:space="preserve"> ՀՀ տարածքային կառավարման և ենթակառուցվածքների նախարարության քաղաքացիական ավիացիայի կոմիտե</t>
  </si>
  <si>
    <t xml:space="preserve"> - Այլ նպաստներ բյուջեից</t>
  </si>
  <si>
    <t xml:space="preserve"> ՀՀ ներքին գործերի նախարարություն</t>
  </si>
  <si>
    <t xml:space="preserve"> - Շենքերի և շինությունների կապիտալ վերանորոգում</t>
  </si>
  <si>
    <t xml:space="preserve"> - Նախագծահետազոտական ծախսեր</t>
  </si>
  <si>
    <t xml:space="preserve"> ՀՀ քաղաքաշինության կոմիտե</t>
  </si>
  <si>
    <t xml:space="preserve"> - Շենքերի և շինությունների շինարարություն</t>
  </si>
  <si>
    <t xml:space="preserve"> ՀՀ կրթության, գիտության, մշակույթի և սպորտի նախարարության բարձրագույն կրթության և գիտության կոմիտե</t>
  </si>
  <si>
    <t xml:space="preserve"> ՀՀ ազգային անվտանգության ծառայություն</t>
  </si>
  <si>
    <t xml:space="preserve"> ՀՀ վարչապետի աշխատակազմ</t>
  </si>
  <si>
    <t xml:space="preserve"> - Այլ կապիտալ դրամաշնորհներ</t>
  </si>
  <si>
    <t xml:space="preserve"> - Այլ մեքենաներ և սարքավորումներ</t>
  </si>
  <si>
    <t xml:space="preserve"> - Աշխատանքի վարձատրություն</t>
  </si>
  <si>
    <t xml:space="preserve"> - Ծառայությունների և ապրանքների ձեռքբերում</t>
  </si>
  <si>
    <t xml:space="preserve"> - Այլ ծախսեր</t>
  </si>
  <si>
    <t xml:space="preserve"> - վարչական սարքավորումներ</t>
  </si>
  <si>
    <t xml:space="preserve"> ՀՀ տարածքային կառավարման և ենթակառուցվածքների նախարարություն</t>
  </si>
  <si>
    <t xml:space="preserve"> ՀՀ Արագածոտնի մարզպետի աշխատակազմ</t>
  </si>
  <si>
    <t xml:space="preserve"> ՀՀ  Արարատի  մարզպետի աշխատակազմ</t>
  </si>
  <si>
    <t>ՀՀ Արմավիրի մարզպետի աշխատակազմ</t>
  </si>
  <si>
    <t xml:space="preserve"> ՀՀ Գեղարքունիքի մարզպետի աշխատակազմ</t>
  </si>
  <si>
    <t xml:space="preserve"> ՀՀ Լոռու մարզպետի աշխատակազմ</t>
  </si>
  <si>
    <t xml:space="preserve"> ՀՀ Կոտայքի մարզպետի աշխատակազմ</t>
  </si>
  <si>
    <t xml:space="preserve"> ՀՀ Շիրակի մարզպետի աշխատակազմ</t>
  </si>
  <si>
    <t xml:space="preserve"> ՀՀ Սյունիքի մարզպետի աշխատակազմ</t>
  </si>
  <si>
    <t xml:space="preserve"> ՀՀ Վայոց ձորի մարզպետի աշխատակազմ</t>
  </si>
  <si>
    <t xml:space="preserve"> ՀՀ Տավուշի մարզպետի աշխատակազմ</t>
  </si>
  <si>
    <t xml:space="preserve"> - Սուբսիդիաներ ոչ ֆինանսական պետական կազմակերպություններին</t>
  </si>
  <si>
    <t xml:space="preserve"> ՀՀ պաշտպանության նախարարություն</t>
  </si>
  <si>
    <t xml:space="preserve">Տարակարգի հանրապետական հանձնաժողովի աշխատանքներում  ընդգրկված փորձագետների ֆինանսավորում </t>
  </si>
  <si>
    <t>ՀՀ պաշտպանության նախարարություն</t>
  </si>
  <si>
    <t xml:space="preserve"> ՀՀ  կրթության, գիտության, մշակույթի և սպորտի նախարարություն</t>
  </si>
  <si>
    <t>Մարզեր</t>
  </si>
  <si>
    <t xml:space="preserve"> ՀՀ  կրթության , գիտության, մշակույթի և սպորտի նախարարություն </t>
  </si>
  <si>
    <t xml:space="preserve"> - Ընթացիկ սուբվենցիաներ համայնքներին</t>
  </si>
  <si>
    <t xml:space="preserve"> ՀՀ աշխատանքի և սոցիալական հարցերի նախարարության միասնական սոցիալական ծառայություն</t>
  </si>
  <si>
    <t xml:space="preserve"> ՀՀ տարածքային կառավարման և ենթակառուցվածքների  նախարարության  պետական գույքի կառավարման կոմիտե</t>
  </si>
  <si>
    <t xml:space="preserve"> - Ընթացիկ դրամաշնորհներ պետական և համայնքների  առևտրային կազմակերպություններին</t>
  </si>
  <si>
    <t xml:space="preserve"> - Կապիտալ դրամաշնորհներ պետական և համայնքային ոչ առևտրային կազմակերպություններին</t>
  </si>
  <si>
    <t xml:space="preserve"> ՀՀ կրթության, գիտության, մշակույթի և սպորտի նախարարություն</t>
  </si>
  <si>
    <t xml:space="preserve"> Ծառայությունների և ապրանքների ձեռքբերում</t>
  </si>
  <si>
    <t xml:space="preserve"> Երաժշտական և արվեստի դպրոցների համար երաժշտական գործիքների ձեռքբերում</t>
  </si>
  <si>
    <t xml:space="preserve"> - Ընթացիկ դրամաշնորհներ միջազգային կազմակերպություններին</t>
  </si>
  <si>
    <t xml:space="preserve"> ՀՀ արտաքին գործերի  նախարարություն</t>
  </si>
  <si>
    <t xml:space="preserve"> ՀՀ կառավարություն</t>
  </si>
  <si>
    <t>Մանկապարտեզների նոր շենքերի կառուցում</t>
  </si>
  <si>
    <t xml:space="preserve"> -Ծառայությունների և ապրանքների ձեռքբերում</t>
  </si>
  <si>
    <t xml:space="preserve"> -Այլ մեքենաներ և սարքավորումներ
</t>
  </si>
  <si>
    <t xml:space="preserve"> -Այլ մեքենաներ և սարքավորումներ</t>
  </si>
  <si>
    <t xml:space="preserve"> ՀՀ Արագածոտնի  մարզպետի աշխատակազմ</t>
  </si>
  <si>
    <t xml:space="preserve"> ՀՀ  Արմավիրի մարզպետի աշխատակազմ</t>
  </si>
  <si>
    <t>Բարձրակարգ մարզիկների անվան բրենդավորման քաղաքականության մշակում և պատվիրակում</t>
  </si>
  <si>
    <t>Երևանում կայանալիք սպորտային մարմնամարզության մեծահասակների Եվրոպայի առաջնության անցկացում</t>
  </si>
  <si>
    <t xml:space="preserve"> Երևանում կայանալիք կարատեի մեծահասակների Եվրոպայի առաջնության անցկացում</t>
  </si>
  <si>
    <t>Երևանում կայանալիք սուսերամարտի մեծահասակների Եվրոպայի առաջնության անցկացում</t>
  </si>
  <si>
    <t>Բարձրագույն նվաճումներ ունեցող մարզիկների, մարզիչների, բնագավառի երկարամյա աշխատակիցների խրախուսում</t>
  </si>
  <si>
    <t xml:space="preserve"> Հայաստանում Ֆրանկոֆոնիայի մարզամշակութային խաղերի անցկացում </t>
  </si>
  <si>
    <t>Միջազգային ֆեդերացիաների կողմից կազմակերպվող բազմաբնույթ միջոցառումներին հենակետային մարզաձևերի ֆեդերացիաների ներկայացուցիչների ակտիվ մասնակցություն</t>
  </si>
  <si>
    <t>Համայնքային մշակութային-ժամանցային կենտրոնի ստեղծում</t>
  </si>
  <si>
    <t>Երևանում Եվրոպայի շախմատի համալսարանական առաջնության անցկացում</t>
  </si>
  <si>
    <t xml:space="preserve"> Հայաստանում կազմակերպվող միջազգային համաժողովների կազմակերպում, անցկացում</t>
  </si>
  <si>
    <t xml:space="preserve"> - Կապիտալ դրամաշնորհներ</t>
  </si>
  <si>
    <t xml:space="preserve"> +</t>
  </si>
  <si>
    <t xml:space="preserve"> - Կապիտալ դրամաշնորհներ պետական և համայնքների ոչ առևտրային կազմակերպություններին</t>
  </si>
  <si>
    <t>ՀՀ կրթության, գիտության, մշակույթի և սպորտի նախարարության  լեզվի կոմիտեի կարողությունների զարգացում և տեխնիկական հագեցվածության ապահովում_x000D_</t>
  </si>
  <si>
    <t>4111
4112
4113</t>
  </si>
  <si>
    <t>Միջպետական երկկողմ և բազմակողմ համագործակցության շրջանակներում կրթամշակութային միջոցառումների իրականացում</t>
  </si>
  <si>
    <t>Վերապատրաստման և ուսուցման նյութեր (աշխատողների զարգացման)</t>
  </si>
  <si>
    <t>0 0</t>
  </si>
  <si>
    <t>Այլ մեքենաներ և սարքավորումներ</t>
  </si>
  <si>
    <t xml:space="preserve"> – Նախագծահետազոտական ծախսեր</t>
  </si>
  <si>
    <t xml:space="preserve"> – Կապիտալ դրամաշնորհներ պետական և համայնքային ոչ առևտրային կազմակերպություններին</t>
  </si>
  <si>
    <t>ՀՀ կրթության, գիտության, մշակույթի և սպորտի նախարարություն</t>
  </si>
  <si>
    <t>Ֆուտբոլի ենթակառուցվածքների զարգացման նպատակով՝ մարզադաշտերի և մարզադպրոցների կառուցում</t>
  </si>
  <si>
    <t xml:space="preserve"> Ասիական զարգացման բանկի աջակցությամբ իրականացվող Դպրոցների սեյսմիկ պաշտպանության ծրագրի լրացուցիչ ֆինանսավորման կառավարում</t>
  </si>
  <si>
    <t xml:space="preserve"> – Վարչական սարքավորումներ</t>
  </si>
  <si>
    <t>Թատերահամերգային կազմակերպությունների ֆինանսավորման փորձնական մոդելի ներդրում</t>
  </si>
  <si>
    <t xml:space="preserve"> ՀՀ «Տարվա լավագույնները» մրցույթի կազմակերպում, անցկացում և հաղթող ճանաչված մարզիկների պարգևատրում</t>
  </si>
  <si>
    <t>հատուկ նպատակային նլութեր</t>
  </si>
  <si>
    <t>ընդդհանուր բնույթի այլ ծառայություններ</t>
  </si>
  <si>
    <t xml:space="preserve">Հայաստանի Հանրապետության Վարչապետի գավաթ" սիրողական խճուղային հեծանվավազքի մրցաշարի անցկացում դպրոցականների միջև
</t>
  </si>
  <si>
    <t xml:space="preserve"> "Հայաստանի Հանրապետության Վարչապետի գավաթ" սիրողական սեղանի թենիսի մրցաշարի անցկացում դպրոցականների միջև</t>
  </si>
  <si>
    <r>
      <t xml:space="preserve"> Սոցիալական աջակցություն ստացող ՀՀ սահմանամերձ համայնքների երեխաների դասագրքերի վարձավճարների փոխհատուցում
</t>
    </r>
    <r>
      <rPr>
        <sz val="10"/>
        <color rgb="FFFF0000"/>
        <rFont val="Grapalat"/>
      </rPr>
      <t xml:space="preserve">Սոցիալական աջակցություն ստացող ՀՀ սահմանամերձ համայնքների և Լեռնային Ղարաբաղից բռնի տեղահանված երեխաների դասագրքերի վարձավճարների փոխհատուցում </t>
    </r>
  </si>
  <si>
    <t xml:space="preserve"> Երևանում կայանալիք ծանրամարտի մեծահասակների աշխարհի առաջնության անցկացում</t>
  </si>
  <si>
    <t>Այլ ընթացիկ դրամաշնորհներ</t>
  </si>
  <si>
    <t>ՀՀ մարզերում պետություն-մասնավոր գործըկերության շրջանակներում մասնավոր լողավազաններում դպրոցահասակ երեխաների լողի ուսուցում</t>
  </si>
  <si>
    <t xml:space="preserve">Մասնակցություն սովորողների գնահատման միջազգային ստուգատեսներին /TIMSS, PISA/_x000D_
_x000D_
</t>
  </si>
  <si>
    <t>Կինո-ֆոտո-ֆոնո հավաքածուի վերականգնման և պահպանման ծառայություններ</t>
  </si>
  <si>
    <t>Կինոոլորտի ծրագրերի իրականացում</t>
  </si>
  <si>
    <t>Այլ նպաստներ</t>
  </si>
  <si>
    <t xml:space="preserve">Աջակցություն մշակութային ժառանգության պահպանմանն ու հանրահռչակմանը </t>
  </si>
  <si>
    <t>Թանգարաններում միասնական տոմսային տնտեսության ընդլայնում և սպասարկում</t>
  </si>
  <si>
    <t xml:space="preserve"> Մշակույթի զարգացման հիմնադրամի ծառայություններ</t>
  </si>
  <si>
    <t>Արհեստագործության թվային պորտալի ստեղծման շրջանակում արհեստագործության և վարպետների մասին էլեկտրոնային հարթակի ներդրում և սպասարկում</t>
  </si>
  <si>
    <t xml:space="preserve"> - Ընթացիկ դրամաշնորհներ պետական և համայնքների ոչ առևտրային կազմակերպություններին/տրանսպորտային ծախսի փոխհատուցում /աբոնենտ/</t>
  </si>
  <si>
    <t>Հայերեն ուսուցանող, ստուգող, գնահատող համակարգի ստեղծում</t>
  </si>
  <si>
    <t>ՆՄՄԿ ոլորտում ներառական կրթության փորձնական ծրագրի իրականացում</t>
  </si>
  <si>
    <t>Սփյուռքի կրթական կարիքներին և պահանջարկին համապատասխան թվային պաշարների ստեղծում</t>
  </si>
  <si>
    <t xml:space="preserve"> Նախադպրոցական հաստատություններում մասնագիտական կադրերի առկայության ապահովում տրանսպորտային ծախսերի փոխհատուցման միջոցով</t>
  </si>
  <si>
    <t xml:space="preserve"> Աջակցություն Նախնական մասնագիտական (արհեստագործական) և միջին մասնագիտական ուսումնական հաստատությունների "Արագ արձագանքման ֆոնդի" շրջանակում՝ հրատապ խնդիրների լուծման համար</t>
  </si>
  <si>
    <t xml:space="preserve"> Աջակցություն թանգարանների և պատկերասրահների "Արագ արձագանքման ֆոնդի" շրջանակում՝ հրատապ խնդիրների լուծման համար</t>
  </si>
  <si>
    <t xml:space="preserve"> Աջակցություն գրադարանների "Արագ արձագանքման ֆոնդի" շրջանակում՝ հրատապ խնդիրների լուծման համար</t>
  </si>
  <si>
    <t xml:space="preserve"> Աջակցություն մարզական կազմակերպությունների "Արագ արձագանքման ֆոնդի" շրջանակում՝ հրատապ խնդիրների լուծման համար</t>
  </si>
  <si>
    <t xml:space="preserve"> Աջակցություն թատերահամերգային կազմակերպությունների "Արագ արձագանքման ֆոնդի" շրջանակում՝ հրատապ խնդիրների լուծման համար</t>
  </si>
  <si>
    <t>Երևանում կայանալիք շախմատային միջազգային վարկանիշային մրցաշարերի կազմակերպում</t>
  </si>
  <si>
    <t xml:space="preserve"> Երևանում կայանալիք ծանրամարտի մեծահասակների Եվրոպայի առաջնության անցկացում</t>
  </si>
  <si>
    <t xml:space="preserve">Երևանում կայանալիք վոլեյբոլի մինչև 16 տարեկան տղաների Եվրոպայի առաջնության անցկաման ապահովում </t>
  </si>
  <si>
    <t>Հայաստանում կազմակերպվող խոշոր մրցաշարերի, աշխարհի և Եվրոպայի առաջնությունների անցկացում</t>
  </si>
  <si>
    <t>Հայաստանում ԱՊՀ  երկրների մարզական խաղերի անցկացում</t>
  </si>
  <si>
    <t>Հայաստանի կինոյի հիմնադրամին գույքով ապահովում</t>
  </si>
  <si>
    <t>Կրթության, գիտության, մշակույթի և սպորտի  բնագավառի պետական քաղաքականության մշակման, ծրագրերի համակարգման և մոնիտորինգի ծառայություններ</t>
  </si>
  <si>
    <r>
      <rPr>
        <sz val="10"/>
        <color theme="1"/>
        <rFont val="GHEA Grapalat"/>
        <family val="3"/>
      </rPr>
      <t></t>
    </r>
    <r>
      <rPr>
        <sz val="10"/>
        <color theme="1"/>
        <rFont val="Grapalat"/>
      </rPr>
      <t>Ազգային երգ ու պար</t>
    </r>
    <r>
      <rPr>
        <sz val="10"/>
        <color theme="1"/>
        <rFont val="GHEA Grapalat"/>
        <family val="3"/>
      </rPr>
      <t></t>
    </r>
    <r>
      <rPr>
        <sz val="10"/>
        <color theme="1"/>
        <rFont val="Grapalat"/>
      </rPr>
      <t xml:space="preserve"> առարկայի ներդրում հանրակրթական ուսումնական հաստատություններում</t>
    </r>
  </si>
  <si>
    <r>
      <t xml:space="preserve">Օժանդակություն </t>
    </r>
    <r>
      <rPr>
        <sz val="10"/>
        <color theme="1"/>
        <rFont val="GHEA Grapalat"/>
        <family val="3"/>
      </rPr>
      <t></t>
    </r>
    <r>
      <rPr>
        <sz val="10"/>
        <color theme="1"/>
        <rFont val="Grapalat"/>
      </rPr>
      <t>Հայ-չինական բարեկամության դպրոց</t>
    </r>
    <r>
      <rPr>
        <sz val="10"/>
        <color theme="1"/>
        <rFont val="Calibri"/>
        <family val="2"/>
      </rPr>
      <t>»</t>
    </r>
    <r>
      <rPr>
        <sz val="10"/>
        <color theme="1"/>
        <rFont val="Grapalat"/>
      </rPr>
      <t xml:space="preserve"> հիմնադրամին</t>
    </r>
  </si>
  <si>
    <r>
      <rPr>
        <sz val="10"/>
        <color theme="1"/>
        <rFont val="GHEA Grapalat"/>
        <family val="3"/>
      </rPr>
      <t></t>
    </r>
    <r>
      <rPr>
        <sz val="10"/>
        <color theme="1"/>
        <rFont val="Grapalat"/>
      </rPr>
      <t>Հակոբ Կոջոյան</t>
    </r>
    <r>
      <rPr>
        <sz val="10"/>
        <color theme="1"/>
        <rFont val="GHEA Grapalat"/>
        <family val="3"/>
      </rPr>
      <t></t>
    </r>
    <r>
      <rPr>
        <sz val="11.5"/>
        <color theme="1"/>
        <rFont val="Grapalat"/>
      </rPr>
      <t xml:space="preserve"> </t>
    </r>
    <r>
      <rPr>
        <sz val="10"/>
        <color theme="1"/>
        <rFont val="Grapalat"/>
      </rPr>
      <t>կրթահամալիր</t>
    </r>
    <r>
      <rPr>
        <sz val="10"/>
        <color theme="1"/>
        <rFont val="Calibri"/>
        <family val="2"/>
      </rPr>
      <t>»</t>
    </r>
    <r>
      <rPr>
        <sz val="10"/>
        <color theme="1"/>
        <rFont val="Grapalat"/>
      </rPr>
      <t xml:space="preserve">  ՊՈԱԿ-ում արտադպրոցական դաստիարակության կազմակերպում</t>
    </r>
  </si>
  <si>
    <t>՝</t>
  </si>
  <si>
    <t>ՀՀ կրթության, գիտության, մշակույթի և սպորտի նախարարության 2025-2027 թվականների միջնաժամկետ ծախսերի ծրագրի նախագիծ</t>
  </si>
  <si>
    <t>Մանկապատանեկան մարզադպրոցներին, մարզաձևերի ազգային ֆեդերացիաներին և այլ մարզական հասարակական կազմակերպություններին գույքով ապահովում</t>
  </si>
  <si>
    <t>Մշակույթի ոլորտի միջազգային հեղինակավոր փառատոների մրցանակաբաշխություններին մասնակցած և մրցանակի արժանացած մշակույթի գործիչների դրամական խրախուսում</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</si>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</sst>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
    <numFmt numFmtId="166" formatCode="##,##0.0;\(##,##0.0\);\-"/>
    <numFmt numFmtId="167" formatCode="_-* #,##0.00_-;\-* #,##0.00_-;_-* &quot;-&quot;??_-;_-@_-"/>
    <numFmt numFmtId="168" formatCode="_-* #,##0.00\ _դ_ր_._-;\-* #,##0.00\ _դ_ր_._-;_-* &quot;-&quot;??\ _դ_ր_._-;_-@_-"/>
    <numFmt numFmtId="169" formatCode="#,##0.00000_);\(#,##0.00000\)"/>
    <numFmt numFmtId="170" formatCode="_(* #,##0.0_);_(* \(#,##0.0\);_(* &quot;-&quot;??_);_(@_)"/>
    <numFmt numFmtId="171" formatCode="#,##0.0_);\(#,##0.0\)"/>
    <numFmt numFmtId="172" formatCode="#,##0.000"/>
  </numFmts>
  <fonts count="56">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GHEA Grapalat"/>
      <family val="3"/>
    </font>
    <font>
      <sz val="10"/>
      <color theme="1"/>
      <name val="GHEA Grapalat"/>
      <family val="3"/>
    </font>
    <font>
      <b/>
      <sz val="11"/>
      <color theme="1"/>
      <name val="GHEA Grapalat"/>
      <family val="3"/>
    </font>
    <font>
      <sz val="9"/>
      <color rgb="FF000000"/>
      <name val="GHEA Grapalat"/>
      <family val="3"/>
    </font>
    <font>
      <sz val="11"/>
      <name val="GHEA Grapalat"/>
      <family val="3"/>
    </font>
    <font>
      <b/>
      <sz val="9"/>
      <color rgb="FF000000"/>
      <name val="GHEA Grapalat"/>
      <family val="3"/>
    </font>
    <font>
      <b/>
      <sz val="11"/>
      <color theme="1"/>
      <name val="Calibri"/>
      <family val="2"/>
      <charset val="204"/>
      <scheme val="minor"/>
    </font>
    <font>
      <sz val="9"/>
      <color theme="1"/>
      <name val="GHEA Grapalat"/>
      <family val="3"/>
    </font>
    <font>
      <sz val="8"/>
      <name val="GHEA Grapalat"/>
      <family val="2"/>
    </font>
    <font>
      <sz val="12"/>
      <color theme="1"/>
      <name val="Calibri"/>
      <family val="2"/>
      <scheme val="minor"/>
    </font>
    <font>
      <b/>
      <sz val="11"/>
      <color rgb="FF000000"/>
      <name val="GHEA Grapalat"/>
      <family val="3"/>
    </font>
    <font>
      <sz val="11"/>
      <color rgb="FF000000"/>
      <name val="GHEA Grapalat"/>
      <family val="3"/>
    </font>
    <font>
      <sz val="10"/>
      <name val="GHEA Grapalat"/>
      <family val="3"/>
    </font>
    <font>
      <sz val="10"/>
      <name val="Arial"/>
      <family val="2"/>
    </font>
    <font>
      <sz val="10"/>
      <name val="Arial Armenian"/>
      <family val="2"/>
    </font>
    <font>
      <sz val="10"/>
      <color indexed="8"/>
      <name val="MS Sans Serif"/>
      <family val="2"/>
    </font>
    <font>
      <sz val="10"/>
      <name val="Arial"/>
      <family val="2"/>
      <charset val="204"/>
    </font>
    <font>
      <sz val="10"/>
      <color indexed="8"/>
      <name val="MS Sans Serif"/>
      <family val="2"/>
      <charset val="204"/>
    </font>
    <font>
      <sz val="10"/>
      <name val="Times Armenian"/>
      <family val="1"/>
    </font>
    <font>
      <sz val="11"/>
      <color theme="1"/>
      <name val="Arial Armenian"/>
      <family val="2"/>
    </font>
    <font>
      <sz val="8"/>
      <color theme="1"/>
      <name val="GHEA Grapalat"/>
      <family val="3"/>
    </font>
    <font>
      <sz val="8"/>
      <name val="GHEA Grapalat"/>
      <family val="3"/>
    </font>
    <font>
      <b/>
      <sz val="10"/>
      <name val="GHEA Grapalat"/>
      <family val="3"/>
    </font>
    <font>
      <b/>
      <sz val="10"/>
      <color theme="1"/>
      <name val="Calibri"/>
      <family val="2"/>
      <charset val="204"/>
      <scheme val="minor"/>
    </font>
    <font>
      <sz val="10"/>
      <color theme="1"/>
      <name val="Calibri"/>
      <family val="2"/>
      <charset val="204"/>
      <scheme val="minor"/>
    </font>
    <font>
      <sz val="10"/>
      <name val="GHEA Grapalat"/>
      <family val="2"/>
    </font>
    <font>
      <sz val="11"/>
      <color theme="1"/>
      <name val="Calibri"/>
      <family val="2"/>
      <charset val="204"/>
      <scheme val="minor"/>
    </font>
    <font>
      <sz val="10"/>
      <color rgb="FF000000"/>
      <name val="GHEA Grapalat"/>
      <family val="3"/>
    </font>
    <font>
      <b/>
      <sz val="11"/>
      <color theme="1"/>
      <name val="Calibri"/>
      <family val="2"/>
      <scheme val="minor"/>
    </font>
    <font>
      <sz val="12"/>
      <name val="GHEA Grapalat"/>
      <family val="3"/>
    </font>
    <font>
      <sz val="12"/>
      <color theme="1"/>
      <name val="GHEA Grapalat"/>
      <family val="3"/>
    </font>
    <font>
      <b/>
      <i/>
      <sz val="11"/>
      <color theme="1"/>
      <name val="GHEA Grapalat"/>
      <family val="3"/>
    </font>
    <font>
      <sz val="12"/>
      <name val="GHEA Grapalat"/>
      <family val="2"/>
    </font>
    <font>
      <sz val="11"/>
      <color indexed="8"/>
      <name val="Calibri"/>
      <family val="2"/>
      <charset val="204"/>
    </font>
    <font>
      <sz val="9"/>
      <name val="GHEA Grapalat"/>
      <family val="3"/>
    </font>
    <font>
      <sz val="11"/>
      <color rgb="FF000000"/>
      <name val="Calibri"/>
      <family val="2"/>
    </font>
    <font>
      <sz val="11"/>
      <color rgb="FFFF0000"/>
      <name val="GHEA Grapalat"/>
      <family val="3"/>
    </font>
    <font>
      <sz val="11"/>
      <color theme="1"/>
      <name val="Calibri"/>
      <family val="2"/>
      <charset val="1"/>
      <scheme val="minor"/>
    </font>
    <font>
      <sz val="10"/>
      <color theme="1"/>
      <name val="Grapalat"/>
    </font>
    <font>
      <sz val="10"/>
      <name val="Grapalat"/>
    </font>
    <font>
      <b/>
      <sz val="10"/>
      <color theme="1"/>
      <name val="Grapalat"/>
    </font>
    <font>
      <sz val="10"/>
      <color rgb="FFFF0000"/>
      <name val="Grapalat"/>
    </font>
    <font>
      <i/>
      <sz val="10"/>
      <color rgb="FFFF0000"/>
      <name val="Grapalat"/>
    </font>
    <font>
      <i/>
      <sz val="10"/>
      <name val="Grapalat"/>
    </font>
    <font>
      <i/>
      <sz val="10"/>
      <color rgb="FF0070C0"/>
      <name val="Grapalat"/>
    </font>
    <font>
      <b/>
      <sz val="10"/>
      <color rgb="FFFF0000"/>
      <name val="Grapalat"/>
    </font>
    <font>
      <sz val="10"/>
      <color rgb="FF0070C0"/>
      <name val="Grapalat"/>
    </font>
    <font>
      <i/>
      <sz val="9"/>
      <name val="GHEA Grapalat"/>
      <family val="2"/>
    </font>
    <font>
      <i/>
      <sz val="9"/>
      <name val="GHEA Grapalat"/>
      <family val="3"/>
    </font>
    <font>
      <sz val="11.5"/>
      <color theme="1"/>
      <name val="Grapalat"/>
    </font>
    <font>
      <sz val="10"/>
      <color theme="1"/>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rgb="FF95B3D7"/>
      </patternFill>
    </fill>
    <fill>
      <patternFill patternType="solid">
        <fgColor theme="0"/>
        <bgColor indexed="64"/>
      </patternFill>
    </fill>
    <fill>
      <patternFill patternType="solid">
        <fgColor theme="4" tint="0.59999389629810485"/>
        <bgColor indexed="64"/>
      </patternFill>
    </fill>
    <fill>
      <patternFill patternType="solid">
        <fgColor theme="0"/>
        <bgColor rgb="FF95B3D7"/>
      </patternFill>
    </fill>
    <fill>
      <patternFill patternType="solid">
        <fgColor theme="2"/>
        <bgColor indexed="64"/>
      </patternFill>
    </fill>
    <fill>
      <patternFill patternType="solid">
        <fgColor theme="2"/>
        <bgColor rgb="FF95B3D7"/>
      </patternFill>
    </fill>
    <fill>
      <patternFill patternType="solid">
        <fgColor theme="0"/>
        <bgColor rgb="FFFFFFFF"/>
      </patternFill>
    </fill>
    <fill>
      <patternFill patternType="solid">
        <fgColor theme="0" tint="-0.14999847407452621"/>
        <bgColor rgb="FFD9D9D9"/>
      </patternFill>
    </fill>
    <fill>
      <patternFill patternType="solid">
        <fgColor indexed="65"/>
        <bgColor rgb="FFFFFFFF"/>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auto="1"/>
      </top>
      <bottom style="thin">
        <color auto="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thin">
        <color indexed="64"/>
      </top>
      <bottom/>
      <diagonal/>
    </border>
  </borders>
  <cellStyleXfs count="82">
    <xf numFmtId="0" fontId="0" fillId="0" borderId="0"/>
    <xf numFmtId="166" fontId="13" fillId="0" borderId="0" applyFill="0" applyBorder="0" applyProtection="0">
      <alignment horizontal="right" vertical="top"/>
    </xf>
    <xf numFmtId="0" fontId="18" fillId="0" borderId="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0" fontId="23" fillId="0" borderId="0"/>
    <xf numFmtId="0" fontId="19" fillId="0" borderId="0"/>
    <xf numFmtId="0" fontId="24" fillId="0" borderId="0"/>
    <xf numFmtId="0" fontId="18" fillId="0" borderId="0"/>
    <xf numFmtId="0" fontId="19" fillId="0" borderId="0"/>
    <xf numFmtId="0" fontId="21" fillId="0" borderId="0"/>
    <xf numFmtId="0" fontId="18" fillId="0" borderId="0"/>
    <xf numFmtId="0" fontId="18" fillId="0" borderId="0"/>
    <xf numFmtId="0" fontId="19" fillId="0" borderId="0"/>
    <xf numFmtId="0" fontId="21" fillId="0" borderId="0"/>
    <xf numFmtId="0" fontId="19" fillId="0" borderId="0"/>
    <xf numFmtId="0" fontId="18" fillId="0" borderId="0"/>
    <xf numFmtId="0" fontId="18" fillId="0" borderId="0"/>
    <xf numFmtId="0" fontId="21" fillId="0" borderId="0"/>
    <xf numFmtId="0" fontId="19"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xf numFmtId="0" fontId="23" fillId="0" borderId="0"/>
    <xf numFmtId="9" fontId="18" fillId="0" borderId="0" applyFont="0" applyFill="0" applyBorder="0" applyAlignment="0" applyProtection="0"/>
    <xf numFmtId="0" fontId="20" fillId="0" borderId="0"/>
    <xf numFmtId="0" fontId="20" fillId="0" borderId="0"/>
    <xf numFmtId="0" fontId="22" fillId="0" borderId="0"/>
    <xf numFmtId="0" fontId="20" fillId="0" borderId="0"/>
    <xf numFmtId="0" fontId="21" fillId="0" borderId="0"/>
    <xf numFmtId="0" fontId="21" fillId="0" borderId="0"/>
    <xf numFmtId="0" fontId="18" fillId="0" borderId="0"/>
    <xf numFmtId="0" fontId="4" fillId="0" borderId="0"/>
    <xf numFmtId="0" fontId="18" fillId="0" borderId="0"/>
    <xf numFmtId="0" fontId="20" fillId="0" borderId="0"/>
    <xf numFmtId="0" fontId="22" fillId="0" borderId="0"/>
    <xf numFmtId="0" fontId="20" fillId="0" borderId="0"/>
    <xf numFmtId="0" fontId="22" fillId="0" borderId="0"/>
    <xf numFmtId="0" fontId="20" fillId="0" borderId="0"/>
    <xf numFmtId="167" fontId="21" fillId="0" borderId="0" applyFont="0" applyFill="0" applyBorder="0" applyAlignment="0" applyProtection="0"/>
    <xf numFmtId="167" fontId="2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1" fillId="0" borderId="0" applyFont="0" applyFill="0" applyBorder="0" applyAlignment="0" applyProtection="0"/>
    <xf numFmtId="167" fontId="4"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168" fontId="38" fillId="0" borderId="0" applyFont="0" applyFill="0" applyBorder="0" applyAlignment="0" applyProtection="0"/>
    <xf numFmtId="43" fontId="40" fillId="0" borderId="0" applyFont="0" applyFill="0" applyBorder="0" applyAlignment="0" applyProtection="0"/>
    <xf numFmtId="0" fontId="13" fillId="0" borderId="0">
      <alignment horizontal="left" vertical="top" wrapText="1"/>
    </xf>
    <xf numFmtId="0" fontId="3" fillId="0" borderId="0"/>
    <xf numFmtId="0" fontId="18" fillId="0" borderId="0"/>
    <xf numFmtId="0" fontId="42" fillId="0" borderId="0"/>
    <xf numFmtId="0" fontId="2" fillId="0" borderId="0"/>
    <xf numFmtId="0" fontId="2" fillId="0" borderId="0"/>
    <xf numFmtId="0" fontId="18" fillId="0" borderId="0"/>
    <xf numFmtId="0" fontId="1" fillId="0" borderId="0"/>
    <xf numFmtId="0" fontId="18" fillId="0" borderId="0"/>
  </cellStyleXfs>
  <cellXfs count="737">
    <xf numFmtId="0" fontId="0" fillId="0" borderId="0" xfId="0"/>
    <xf numFmtId="0" fontId="11" fillId="0" borderId="0" xfId="0" applyFont="1"/>
    <xf numFmtId="0" fontId="5" fillId="0" borderId="1" xfId="0" applyFont="1" applyBorder="1" applyAlignment="1">
      <alignment horizontal="left" vertical="center"/>
    </xf>
    <xf numFmtId="0" fontId="5" fillId="0" borderId="0" xfId="0" applyFont="1"/>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14" fillId="0" borderId="0" xfId="0" applyFont="1"/>
    <xf numFmtId="0" fontId="9" fillId="0" borderId="1" xfId="0" applyFont="1" applyBorder="1" applyAlignment="1">
      <alignment horizontal="center" vertical="center" wrapText="1"/>
    </xf>
    <xf numFmtId="0" fontId="15" fillId="4" borderId="1" xfId="0" applyFont="1" applyFill="1" applyBorder="1" applyAlignment="1" applyProtection="1">
      <alignment horizontal="left" vertical="center"/>
      <protection locked="0"/>
    </xf>
    <xf numFmtId="0" fontId="16" fillId="4" borderId="1" xfId="0" applyFont="1" applyFill="1" applyBorder="1" applyAlignment="1" applyProtection="1">
      <alignment horizontal="left" vertical="center"/>
      <protection locked="0"/>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4" xfId="0" applyFont="1" applyBorder="1" applyAlignment="1">
      <alignment horizontal="left" vertical="center"/>
    </xf>
    <xf numFmtId="0" fontId="5" fillId="0" borderId="0" xfId="0" applyFont="1" applyAlignment="1">
      <alignment horizontal="center" vertical="center"/>
    </xf>
    <xf numFmtId="0" fontId="15" fillId="4" borderId="1" xfId="0" applyFont="1" applyFill="1" applyBorder="1" applyAlignment="1">
      <alignment horizontal="center" vertical="center"/>
    </xf>
    <xf numFmtId="0" fontId="16" fillId="4" borderId="1" xfId="0" applyFont="1" applyFill="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5" fillId="5" borderId="12" xfId="0" applyFont="1" applyFill="1" applyBorder="1" applyAlignment="1">
      <alignment horizontal="center" vertical="center"/>
    </xf>
    <xf numFmtId="0" fontId="16" fillId="7" borderId="1" xfId="0" applyFont="1" applyFill="1" applyBorder="1" applyAlignment="1" applyProtection="1">
      <alignment horizontal="center" vertical="center"/>
      <protection locked="0"/>
    </xf>
    <xf numFmtId="0" fontId="6" fillId="8" borderId="1" xfId="0" applyFont="1" applyFill="1" applyBorder="1" applyAlignment="1">
      <alignment horizontal="center" vertical="center" wrapText="1"/>
    </xf>
    <xf numFmtId="0" fontId="6" fillId="8" borderId="1" xfId="0" applyFont="1" applyFill="1" applyBorder="1" applyAlignment="1">
      <alignment horizontal="center" vertical="center"/>
    </xf>
    <xf numFmtId="0" fontId="6" fillId="5" borderId="1" xfId="0" applyFont="1" applyFill="1" applyBorder="1" applyAlignment="1">
      <alignment horizontal="center" vertical="center"/>
    </xf>
    <xf numFmtId="0" fontId="16" fillId="7" borderId="1" xfId="0" applyFont="1" applyFill="1" applyBorder="1" applyAlignment="1" applyProtection="1">
      <alignment horizontal="left" vertical="center"/>
      <protection locked="0"/>
    </xf>
    <xf numFmtId="0" fontId="5" fillId="0" borderId="1" xfId="0" applyFont="1" applyBorder="1" applyAlignment="1">
      <alignment horizontal="center" vertical="top" wrapText="1"/>
    </xf>
    <xf numFmtId="0" fontId="6" fillId="0" borderId="9"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8" borderId="9" xfId="0" applyFont="1" applyFill="1" applyBorder="1" applyAlignment="1">
      <alignment horizontal="center" vertical="center" wrapText="1"/>
    </xf>
    <xf numFmtId="0" fontId="5" fillId="8" borderId="1" xfId="0" applyFont="1" applyFill="1" applyBorder="1" applyAlignment="1">
      <alignment horizontal="center" vertical="center"/>
    </xf>
    <xf numFmtId="0" fontId="16" fillId="9" borderId="1" xfId="0" applyFont="1" applyFill="1" applyBorder="1" applyAlignment="1" applyProtection="1">
      <alignment horizontal="center" vertical="center"/>
      <protection locked="0"/>
    </xf>
    <xf numFmtId="0" fontId="5" fillId="8" borderId="1" xfId="0" applyFont="1" applyFill="1" applyBorder="1" applyAlignment="1">
      <alignment horizontal="center" vertical="center" wrapText="1"/>
    </xf>
    <xf numFmtId="0" fontId="5" fillId="8" borderId="12" xfId="0" applyFont="1" applyFill="1" applyBorder="1" applyAlignment="1">
      <alignment horizontal="center" vertical="center"/>
    </xf>
    <xf numFmtId="0" fontId="5" fillId="8" borderId="2" xfId="0" applyFont="1" applyFill="1" applyBorder="1" applyAlignment="1">
      <alignment horizontal="center" vertical="center"/>
    </xf>
    <xf numFmtId="0" fontId="9" fillId="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6" fillId="8" borderId="1" xfId="0" applyFont="1" applyFill="1" applyBorder="1" applyAlignment="1" applyProtection="1">
      <alignment horizontal="center" vertical="center"/>
      <protection locked="0"/>
    </xf>
    <xf numFmtId="0" fontId="6" fillId="5" borderId="1" xfId="0" applyFont="1" applyFill="1" applyBorder="1" applyAlignment="1">
      <alignment horizontal="left" vertical="center"/>
    </xf>
    <xf numFmtId="0" fontId="6" fillId="8" borderId="9" xfId="0" applyFont="1" applyFill="1" applyBorder="1" applyAlignment="1">
      <alignment horizontal="center" vertical="center"/>
    </xf>
    <xf numFmtId="0" fontId="5" fillId="0" borderId="1" xfId="0" applyFont="1" applyBorder="1" applyAlignment="1">
      <alignment vertical="top" wrapText="1"/>
    </xf>
    <xf numFmtId="0" fontId="9" fillId="8" borderId="1" xfId="0" applyFont="1" applyFill="1" applyBorder="1" applyAlignment="1">
      <alignment horizontal="center" vertical="top" wrapText="1"/>
    </xf>
    <xf numFmtId="0" fontId="9" fillId="0" borderId="1" xfId="0" applyFont="1" applyBorder="1" applyAlignment="1">
      <alignment horizontal="center" vertical="top" wrapText="1"/>
    </xf>
    <xf numFmtId="0" fontId="16" fillId="0" borderId="1" xfId="0" applyFont="1" applyBorder="1" applyAlignment="1" applyProtection="1">
      <alignment horizontal="left" vertical="center"/>
      <protection locked="0"/>
    </xf>
    <xf numFmtId="0" fontId="6" fillId="0" borderId="1" xfId="0" applyFont="1" applyBorder="1" applyAlignment="1">
      <alignment vertical="top" wrapText="1"/>
    </xf>
    <xf numFmtId="0" fontId="32" fillId="9" borderId="5" xfId="0" applyFont="1" applyFill="1" applyBorder="1" applyAlignment="1" applyProtection="1">
      <alignment horizontal="left" vertical="center"/>
      <protection locked="0"/>
    </xf>
    <xf numFmtId="0" fontId="32" fillId="9" borderId="1" xfId="0" applyFont="1" applyFill="1" applyBorder="1" applyAlignment="1" applyProtection="1">
      <alignment horizontal="center" vertical="center"/>
      <protection locked="0"/>
    </xf>
    <xf numFmtId="0" fontId="5" fillId="5" borderId="1" xfId="0" applyFont="1" applyFill="1" applyBorder="1" applyAlignment="1">
      <alignment horizontal="center" vertical="center" wrapText="1"/>
    </xf>
    <xf numFmtId="0" fontId="6" fillId="0" borderId="3" xfId="0" applyFont="1" applyBorder="1" applyAlignment="1">
      <alignment horizontal="left" vertical="center"/>
    </xf>
    <xf numFmtId="0" fontId="6" fillId="0" borderId="3" xfId="0" applyFont="1" applyBorder="1" applyAlignment="1">
      <alignment horizontal="center" vertical="center"/>
    </xf>
    <xf numFmtId="0" fontId="5" fillId="5" borderId="1" xfId="0" applyFont="1" applyFill="1" applyBorder="1" applyAlignment="1">
      <alignment horizontal="left" vertical="center"/>
    </xf>
    <xf numFmtId="0" fontId="16" fillId="7" borderId="2" xfId="0" applyFont="1" applyFill="1" applyBorder="1" applyAlignment="1" applyProtection="1">
      <alignment horizontal="center" vertical="center"/>
      <protection locked="0"/>
    </xf>
    <xf numFmtId="0" fontId="5" fillId="0" borderId="0" xfId="0" applyFont="1" applyAlignment="1">
      <alignment horizontal="left" vertical="center" wrapText="1"/>
    </xf>
    <xf numFmtId="0" fontId="16" fillId="9" borderId="1" xfId="0" applyFont="1" applyFill="1" applyBorder="1" applyAlignment="1" applyProtection="1">
      <alignment horizontal="left" vertical="center"/>
      <protection locked="0"/>
    </xf>
    <xf numFmtId="0" fontId="32" fillId="4" borderId="5" xfId="0" applyFont="1" applyFill="1" applyBorder="1" applyAlignment="1" applyProtection="1">
      <alignment horizontal="left" vertical="center"/>
      <protection locked="0"/>
    </xf>
    <xf numFmtId="0" fontId="32" fillId="8" borderId="5" xfId="0" applyFont="1" applyFill="1" applyBorder="1" applyAlignment="1" applyProtection="1">
      <alignment horizontal="left" vertical="center"/>
      <protection locked="0"/>
    </xf>
    <xf numFmtId="0" fontId="15" fillId="4" borderId="2" xfId="0" applyFont="1" applyFill="1" applyBorder="1" applyAlignment="1" applyProtection="1">
      <alignment horizontal="left" vertical="center"/>
      <protection locked="0"/>
    </xf>
    <xf numFmtId="0" fontId="16" fillId="0" borderId="2" xfId="0" applyFont="1" applyBorder="1" applyAlignment="1" applyProtection="1">
      <alignment horizontal="center" vertical="center"/>
      <protection locked="0"/>
    </xf>
    <xf numFmtId="0" fontId="16" fillId="8" borderId="5" xfId="0" applyFont="1" applyFill="1" applyBorder="1" applyAlignment="1" applyProtection="1">
      <alignment horizontal="left" vertical="center"/>
      <protection locked="0"/>
    </xf>
    <xf numFmtId="0" fontId="16" fillId="9" borderId="5" xfId="0" applyFont="1" applyFill="1" applyBorder="1" applyAlignment="1" applyProtection="1">
      <alignment horizontal="left" vertical="center"/>
      <protection locked="0"/>
    </xf>
    <xf numFmtId="0" fontId="5" fillId="0" borderId="3" xfId="0" applyFont="1" applyBorder="1" applyAlignment="1">
      <alignment horizontal="center" vertical="center" wrapText="1"/>
    </xf>
    <xf numFmtId="0" fontId="33" fillId="6" borderId="1" xfId="0" applyFont="1" applyFill="1" applyBorder="1"/>
    <xf numFmtId="0" fontId="7" fillId="6" borderId="1" xfId="0" applyFont="1" applyFill="1" applyBorder="1" applyAlignment="1">
      <alignment horizontal="center" vertical="center"/>
    </xf>
    <xf numFmtId="0" fontId="16" fillId="0" borderId="1" xfId="0" applyFont="1" applyBorder="1" applyAlignment="1">
      <alignment horizontal="left" vertical="top"/>
    </xf>
    <xf numFmtId="0" fontId="16" fillId="0" borderId="1" xfId="0" applyFont="1" applyBorder="1" applyAlignment="1" applyProtection="1">
      <alignment horizontal="left" vertical="top"/>
      <protection locked="0"/>
    </xf>
    <xf numFmtId="0" fontId="0" fillId="0" borderId="1" xfId="0" applyBorder="1"/>
    <xf numFmtId="0" fontId="7" fillId="4" borderId="1" xfId="0" applyFont="1" applyFill="1" applyBorder="1" applyAlignment="1">
      <alignment horizontal="center" vertical="center"/>
    </xf>
    <xf numFmtId="0" fontId="5" fillId="8"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left" vertical="center"/>
      <protection locked="0"/>
    </xf>
    <xf numFmtId="0" fontId="5" fillId="9" borderId="1"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protection locked="0"/>
    </xf>
    <xf numFmtId="0" fontId="5" fillId="7" borderId="1" xfId="0" applyFont="1" applyFill="1" applyBorder="1" applyAlignment="1" applyProtection="1">
      <alignment horizontal="left" vertical="center"/>
      <protection locked="0"/>
    </xf>
    <xf numFmtId="0" fontId="5" fillId="7" borderId="1" xfId="0" applyFont="1" applyFill="1" applyBorder="1" applyAlignment="1" applyProtection="1">
      <alignment horizontal="left" vertical="center" wrapText="1"/>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9" borderId="2" xfId="0" applyFont="1" applyFill="1" applyBorder="1" applyAlignment="1" applyProtection="1">
      <alignment horizontal="center" vertical="center"/>
      <protection locked="0"/>
    </xf>
    <xf numFmtId="4" fontId="35" fillId="5" borderId="1" xfId="0" applyNumberFormat="1" applyFont="1" applyFill="1" applyBorder="1" applyAlignment="1">
      <alignment vertical="top" wrapText="1"/>
    </xf>
    <xf numFmtId="49" fontId="35" fillId="5" borderId="3" xfId="0" applyNumberFormat="1" applyFont="1" applyFill="1" applyBorder="1" applyAlignment="1">
      <alignment vertical="top" wrapText="1"/>
    </xf>
    <xf numFmtId="0" fontId="9" fillId="0" borderId="1" xfId="0" applyFont="1" applyBorder="1" applyAlignment="1">
      <alignment horizontal="center" wrapText="1"/>
    </xf>
    <xf numFmtId="0" fontId="5" fillId="8" borderId="3" xfId="0" applyFont="1" applyFill="1" applyBorder="1" applyAlignment="1">
      <alignment horizontal="center" vertical="center" wrapText="1"/>
    </xf>
    <xf numFmtId="0" fontId="35" fillId="0" borderId="1" xfId="0" applyFont="1" applyBorder="1" applyAlignment="1">
      <alignment horizontal="center" vertical="center" wrapText="1"/>
    </xf>
    <xf numFmtId="0" fontId="5" fillId="8" borderId="2" xfId="0" applyFont="1" applyFill="1" applyBorder="1" applyAlignment="1">
      <alignment horizontal="left" vertical="center" wrapText="1"/>
    </xf>
    <xf numFmtId="0" fontId="16" fillId="4" borderId="2" xfId="0" applyFont="1" applyFill="1" applyBorder="1" applyAlignment="1" applyProtection="1">
      <alignment horizontal="left" vertical="center"/>
      <protection locked="0"/>
    </xf>
    <xf numFmtId="0" fontId="16" fillId="4" borderId="5" xfId="0" applyFont="1" applyFill="1" applyBorder="1" applyAlignment="1" applyProtection="1">
      <alignment horizontal="left" vertical="center"/>
      <protection locked="0"/>
    </xf>
    <xf numFmtId="0" fontId="16" fillId="9" borderId="2" xfId="0" applyFont="1" applyFill="1" applyBorder="1" applyAlignment="1" applyProtection="1">
      <alignment horizontal="center" vertical="center"/>
      <protection locked="0"/>
    </xf>
    <xf numFmtId="0" fontId="16" fillId="9" borderId="2"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35" fillId="0" borderId="1" xfId="0" applyFont="1" applyBorder="1" applyAlignment="1">
      <alignment horizontal="left" vertical="center" wrapText="1"/>
    </xf>
    <xf numFmtId="0" fontId="35" fillId="0" borderId="1" xfId="0" applyFont="1" applyBorder="1" applyAlignment="1">
      <alignment horizontal="center" vertical="center"/>
    </xf>
    <xf numFmtId="0" fontId="35" fillId="0" borderId="0" xfId="0" applyFont="1"/>
    <xf numFmtId="0" fontId="35" fillId="0" borderId="1" xfId="0" applyFont="1" applyBorder="1" applyAlignment="1">
      <alignment horizont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9" fillId="0" borderId="1" xfId="0" applyFont="1" applyBorder="1" applyAlignment="1">
      <alignment vertical="top" wrapText="1"/>
    </xf>
    <xf numFmtId="0" fontId="9" fillId="0" borderId="0" xfId="0" applyFont="1" applyAlignment="1">
      <alignment horizontal="left" vertical="center"/>
    </xf>
    <xf numFmtId="0" fontId="9" fillId="0" borderId="1" xfId="0" applyFont="1" applyBorder="1" applyAlignment="1">
      <alignment horizontal="left" vertical="center"/>
    </xf>
    <xf numFmtId="0" fontId="9" fillId="5" borderId="1" xfId="0" applyFont="1" applyFill="1" applyBorder="1" applyAlignment="1">
      <alignment horizontal="left" vertical="center"/>
    </xf>
    <xf numFmtId="0" fontId="5" fillId="0" borderId="13" xfId="0" applyFont="1" applyBorder="1" applyAlignment="1">
      <alignment horizontal="center" vertical="top" wrapText="1"/>
    </xf>
    <xf numFmtId="0" fontId="5" fillId="0" borderId="15" xfId="0" applyFont="1" applyBorder="1" applyAlignment="1">
      <alignment horizontal="center" vertical="top" wrapText="1"/>
    </xf>
    <xf numFmtId="0" fontId="10" fillId="4" borderId="1" xfId="0" applyFont="1" applyFill="1" applyBorder="1" applyAlignment="1" applyProtection="1">
      <alignment horizontal="center" vertical="top"/>
      <protection locked="0"/>
    </xf>
    <xf numFmtId="0" fontId="8" fillId="4" borderId="1" xfId="0" applyFont="1" applyFill="1" applyBorder="1" applyAlignment="1" applyProtection="1">
      <alignment horizontal="center" vertical="top"/>
      <protection locked="0"/>
    </xf>
    <xf numFmtId="0" fontId="8" fillId="4" borderId="3" xfId="0" applyFont="1" applyFill="1" applyBorder="1" applyAlignment="1" applyProtection="1">
      <alignment horizontal="center" vertical="top"/>
      <protection locked="0"/>
    </xf>
    <xf numFmtId="0" fontId="10" fillId="4" borderId="4" xfId="0" applyFont="1" applyFill="1" applyBorder="1" applyAlignment="1" applyProtection="1">
      <alignment horizontal="center" vertical="top"/>
      <protection locked="0"/>
    </xf>
    <xf numFmtId="0" fontId="8" fillId="8" borderId="1" xfId="0" applyFont="1" applyFill="1" applyBorder="1" applyAlignment="1" applyProtection="1">
      <alignment horizontal="center" vertical="top"/>
      <protection locked="0"/>
    </xf>
    <xf numFmtId="0" fontId="5" fillId="8" borderId="2" xfId="0" applyFont="1" applyFill="1" applyBorder="1" applyAlignment="1">
      <alignment horizontal="left" vertical="center"/>
    </xf>
    <xf numFmtId="0" fontId="5" fillId="0" borderId="0" xfId="0" applyFont="1" applyAlignment="1">
      <alignment vertical="center"/>
    </xf>
    <xf numFmtId="2" fontId="5" fillId="0" borderId="1" xfId="0" applyNumberFormat="1" applyFont="1" applyBorder="1" applyAlignment="1">
      <alignment horizontal="center" vertical="top" wrapText="1"/>
    </xf>
    <xf numFmtId="0" fontId="0" fillId="0" borderId="0" xfId="0" applyAlignment="1">
      <alignment horizontal="center" vertical="top"/>
    </xf>
    <xf numFmtId="0" fontId="5" fillId="5" borderId="1" xfId="0" applyFont="1" applyFill="1" applyBorder="1" applyAlignment="1">
      <alignment horizontal="center" vertical="top" wrapText="1"/>
    </xf>
    <xf numFmtId="0" fontId="7" fillId="3" borderId="1" xfId="0" applyFont="1" applyFill="1" applyBorder="1" applyAlignment="1">
      <alignment horizontal="center" vertical="top"/>
    </xf>
    <xf numFmtId="0" fontId="5" fillId="3" borderId="1" xfId="0" applyFont="1" applyFill="1" applyBorder="1" applyAlignment="1">
      <alignment horizontal="center" vertical="top"/>
    </xf>
    <xf numFmtId="0" fontId="5" fillId="8" borderId="1" xfId="0" applyFont="1" applyFill="1" applyBorder="1" applyAlignment="1">
      <alignment horizontal="center" vertical="top" wrapText="1"/>
    </xf>
    <xf numFmtId="4" fontId="5" fillId="8" borderId="1" xfId="0" applyNumberFormat="1" applyFont="1" applyFill="1" applyBorder="1" applyAlignment="1">
      <alignment horizontal="center" vertical="top"/>
    </xf>
    <xf numFmtId="4" fontId="5" fillId="0" borderId="1" xfId="0" applyNumberFormat="1" applyFont="1" applyBorder="1" applyAlignment="1">
      <alignment horizontal="center" vertical="top"/>
    </xf>
    <xf numFmtId="0" fontId="5" fillId="8" borderId="1" xfId="0" applyFont="1" applyFill="1" applyBorder="1" applyAlignment="1">
      <alignment horizontal="center" vertical="top"/>
    </xf>
    <xf numFmtId="0" fontId="12" fillId="0" borderId="1" xfId="0" applyFont="1" applyBorder="1" applyAlignment="1">
      <alignment horizontal="center" vertical="top" wrapText="1"/>
    </xf>
    <xf numFmtId="0" fontId="5" fillId="0" borderId="1" xfId="0" applyFont="1" applyBorder="1" applyAlignment="1">
      <alignment horizontal="center" vertical="top"/>
    </xf>
    <xf numFmtId="0" fontId="7"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xf>
    <xf numFmtId="9" fontId="5" fillId="0" borderId="1" xfId="70" applyFont="1" applyFill="1" applyBorder="1" applyAlignment="1">
      <alignment horizontal="center" vertical="top"/>
    </xf>
    <xf numFmtId="43" fontId="5" fillId="0" borderId="1" xfId="69" applyFont="1" applyFill="1" applyBorder="1" applyAlignment="1">
      <alignment horizontal="center" vertical="top"/>
    </xf>
    <xf numFmtId="0" fontId="5" fillId="5" borderId="1" xfId="0" applyFont="1" applyFill="1" applyBorder="1" applyAlignment="1">
      <alignment horizontal="center" vertical="top"/>
    </xf>
    <xf numFmtId="0" fontId="6" fillId="8" borderId="1" xfId="0" applyFont="1" applyFill="1" applyBorder="1" applyAlignment="1">
      <alignment horizontal="center" vertical="top" wrapText="1"/>
    </xf>
    <xf numFmtId="0" fontId="6" fillId="3" borderId="1" xfId="0" applyFont="1" applyFill="1" applyBorder="1" applyAlignment="1">
      <alignment horizontal="center" vertical="top" wrapText="1"/>
    </xf>
    <xf numFmtId="164" fontId="5" fillId="0" borderId="1" xfId="0" applyNumberFormat="1" applyFont="1" applyBorder="1" applyAlignment="1">
      <alignment horizontal="center" vertical="top" wrapText="1"/>
    </xf>
    <xf numFmtId="164" fontId="5" fillId="0" borderId="1" xfId="0" applyNumberFormat="1" applyFont="1" applyBorder="1" applyAlignment="1">
      <alignment horizontal="center" vertical="top"/>
    </xf>
    <xf numFmtId="0" fontId="0" fillId="8" borderId="1" xfId="0" applyFill="1" applyBorder="1" applyAlignment="1">
      <alignment horizontal="center" vertical="top"/>
    </xf>
    <xf numFmtId="164" fontId="5" fillId="8" borderId="1" xfId="0" applyNumberFormat="1" applyFont="1" applyFill="1" applyBorder="1" applyAlignment="1">
      <alignment horizontal="center" vertical="top" wrapText="1"/>
    </xf>
    <xf numFmtId="164" fontId="5" fillId="8" borderId="1" xfId="0" applyNumberFormat="1" applyFont="1" applyFill="1" applyBorder="1" applyAlignment="1">
      <alignment horizontal="center" vertical="top"/>
    </xf>
    <xf numFmtId="0" fontId="9" fillId="8" borderId="1" xfId="0" applyFont="1" applyFill="1" applyBorder="1" applyAlignment="1">
      <alignment horizontal="center" vertical="top"/>
    </xf>
    <xf numFmtId="0" fontId="9" fillId="0" borderId="1" xfId="0" applyFont="1" applyBorder="1" applyAlignment="1">
      <alignment horizontal="center" vertical="top"/>
    </xf>
    <xf numFmtId="0" fontId="9" fillId="5" borderId="1" xfId="0" applyFont="1" applyFill="1" applyBorder="1" applyAlignment="1">
      <alignment horizontal="center" vertical="top"/>
    </xf>
    <xf numFmtId="0" fontId="9" fillId="5" borderId="1" xfId="0" applyFont="1" applyFill="1" applyBorder="1" applyAlignment="1">
      <alignment horizontal="center" vertical="top" wrapText="1"/>
    </xf>
    <xf numFmtId="0" fontId="6" fillId="8" borderId="1" xfId="0" applyFont="1" applyFill="1" applyBorder="1" applyAlignment="1">
      <alignment horizontal="center" vertical="top"/>
    </xf>
    <xf numFmtId="0" fontId="25" fillId="0" borderId="1" xfId="0" applyFont="1" applyBorder="1" applyAlignment="1">
      <alignment horizontal="center" vertical="top" wrapText="1"/>
    </xf>
    <xf numFmtId="0" fontId="25" fillId="8" borderId="1" xfId="0" applyFont="1" applyFill="1" applyBorder="1" applyAlignment="1">
      <alignment horizontal="center" vertical="top"/>
    </xf>
    <xf numFmtId="0" fontId="26" fillId="5" borderId="1" xfId="0" applyFont="1" applyFill="1" applyBorder="1" applyAlignment="1">
      <alignment horizontal="center" vertical="top" wrapText="1"/>
    </xf>
    <xf numFmtId="0" fontId="25" fillId="8" borderId="1" xfId="0" applyFont="1" applyFill="1" applyBorder="1" applyAlignment="1">
      <alignment horizontal="center" vertical="top" wrapText="1"/>
    </xf>
    <xf numFmtId="0" fontId="25" fillId="0" borderId="3" xfId="0" applyFont="1" applyBorder="1" applyAlignment="1">
      <alignment horizontal="center" vertical="top" wrapText="1"/>
    </xf>
    <xf numFmtId="0" fontId="0" fillId="3" borderId="1" xfId="0" applyFill="1" applyBorder="1" applyAlignment="1">
      <alignment horizontal="center" vertical="top"/>
    </xf>
    <xf numFmtId="166" fontId="9" fillId="0" borderId="1" xfId="1" applyFont="1" applyFill="1" applyBorder="1" applyAlignment="1">
      <alignment horizontal="center" vertical="top" wrapText="1"/>
    </xf>
    <xf numFmtId="0" fontId="5" fillId="0" borderId="3" xfId="0" applyFont="1" applyBorder="1" applyAlignment="1">
      <alignment horizontal="center" vertical="top" wrapText="1"/>
    </xf>
    <xf numFmtId="0" fontId="5" fillId="8" borderId="3" xfId="0" applyFont="1" applyFill="1" applyBorder="1" applyAlignment="1">
      <alignment horizontal="center" vertical="top" wrapText="1"/>
    </xf>
    <xf numFmtId="0" fontId="5" fillId="8" borderId="4" xfId="0" applyFont="1" applyFill="1" applyBorder="1" applyAlignment="1">
      <alignment horizontal="center" vertical="top" wrapText="1"/>
    </xf>
    <xf numFmtId="0" fontId="5" fillId="8" borderId="3" xfId="0" applyFont="1" applyFill="1" applyBorder="1" applyAlignment="1">
      <alignment horizontal="center" vertical="top"/>
    </xf>
    <xf numFmtId="0" fontId="6" fillId="8" borderId="10" xfId="0" applyFont="1" applyFill="1" applyBorder="1" applyAlignment="1">
      <alignment horizontal="center" vertical="top"/>
    </xf>
    <xf numFmtId="0" fontId="5" fillId="0" borderId="4" xfId="0" applyFont="1" applyBorder="1" applyAlignment="1">
      <alignment horizontal="center" vertical="top" wrapText="1"/>
    </xf>
    <xf numFmtId="0" fontId="6" fillId="0" borderId="10" xfId="0" applyFont="1" applyBorder="1" applyAlignment="1">
      <alignment horizontal="center" vertical="top"/>
    </xf>
    <xf numFmtId="0" fontId="5" fillId="8" borderId="10" xfId="0" applyFont="1" applyFill="1" applyBorder="1" applyAlignment="1">
      <alignment horizontal="center" vertical="top"/>
    </xf>
    <xf numFmtId="0" fontId="5" fillId="0" borderId="10" xfId="0" applyFont="1" applyBorder="1" applyAlignment="1">
      <alignment horizontal="center" vertical="top"/>
    </xf>
    <xf numFmtId="0" fontId="6" fillId="3" borderId="1" xfId="0" applyFont="1" applyFill="1" applyBorder="1" applyAlignment="1">
      <alignment horizontal="center" vertical="top"/>
    </xf>
    <xf numFmtId="0" fontId="12" fillId="8" borderId="1" xfId="0" applyFont="1" applyFill="1" applyBorder="1" applyAlignment="1">
      <alignment horizontal="center" vertical="top" wrapText="1"/>
    </xf>
    <xf numFmtId="0" fontId="12" fillId="0" borderId="1" xfId="0" applyFont="1" applyBorder="1" applyAlignment="1">
      <alignment horizontal="center" vertical="top"/>
    </xf>
    <xf numFmtId="0" fontId="5" fillId="4" borderId="1" xfId="0" applyFont="1" applyFill="1" applyBorder="1" applyAlignment="1">
      <alignment horizontal="center" vertical="center"/>
    </xf>
    <xf numFmtId="0" fontId="35" fillId="0" borderId="1" xfId="0" applyFont="1" applyBorder="1" applyAlignment="1">
      <alignment horizontal="center" wrapText="1"/>
    </xf>
    <xf numFmtId="0" fontId="35" fillId="0" borderId="11"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4" xfId="0" applyFont="1" applyBorder="1" applyAlignment="1">
      <alignment horizontal="center" vertical="center" wrapText="1"/>
    </xf>
    <xf numFmtId="0" fontId="16" fillId="4" borderId="1" xfId="0" applyFont="1" applyFill="1" applyBorder="1" applyAlignment="1">
      <alignment horizontal="center" vertical="center"/>
    </xf>
    <xf numFmtId="0" fontId="16" fillId="4" borderId="4" xfId="0" applyFont="1" applyFill="1" applyBorder="1" applyAlignment="1">
      <alignment horizontal="center" vertical="center"/>
    </xf>
    <xf numFmtId="0" fontId="35" fillId="0" borderId="1" xfId="0" applyFont="1" applyBorder="1" applyAlignment="1">
      <alignment horizontal="left" vertical="center"/>
    </xf>
    <xf numFmtId="0" fontId="34" fillId="0" borderId="1" xfId="0" applyFont="1" applyBorder="1" applyAlignment="1">
      <alignment horizontal="left" vertical="center" wrapText="1"/>
    </xf>
    <xf numFmtId="0" fontId="35" fillId="8" borderId="1" xfId="0" applyFont="1" applyFill="1" applyBorder="1" applyAlignment="1">
      <alignment horizontal="center" vertical="center" wrapText="1"/>
    </xf>
    <xf numFmtId="0" fontId="35" fillId="8" borderId="1" xfId="0" applyFont="1" applyFill="1" applyBorder="1" applyAlignment="1">
      <alignment horizontal="center" vertical="center"/>
    </xf>
    <xf numFmtId="49" fontId="17" fillId="8" borderId="2" xfId="0" applyNumberFormat="1" applyFont="1" applyFill="1" applyBorder="1" applyAlignment="1">
      <alignment horizontal="left" vertical="center" wrapText="1"/>
    </xf>
    <xf numFmtId="0" fontId="35" fillId="8" borderId="4" xfId="0" applyFont="1" applyFill="1" applyBorder="1" applyAlignment="1">
      <alignment horizontal="center" vertical="center" wrapText="1"/>
    </xf>
    <xf numFmtId="0" fontId="35" fillId="8" borderId="1" xfId="0" applyFont="1" applyFill="1" applyBorder="1" applyAlignment="1">
      <alignment horizontal="center" wrapText="1"/>
    </xf>
    <xf numFmtId="0" fontId="35" fillId="0" borderId="1" xfId="0" applyFont="1" applyBorder="1" applyAlignment="1">
      <alignment horizontal="center" vertical="top" wrapText="1"/>
    </xf>
    <xf numFmtId="167" fontId="5" fillId="0" borderId="1" xfId="4" applyFont="1" applyBorder="1" applyAlignment="1">
      <alignment horizontal="center" vertical="center"/>
    </xf>
    <xf numFmtId="167" fontId="5" fillId="0" borderId="0" xfId="4" applyFont="1" applyAlignment="1">
      <alignment horizontal="center" vertical="center"/>
    </xf>
    <xf numFmtId="167" fontId="5" fillId="2" borderId="1" xfId="4" applyFont="1" applyFill="1" applyBorder="1" applyAlignment="1">
      <alignment horizontal="center" vertical="center" wrapText="1"/>
    </xf>
    <xf numFmtId="167" fontId="5" fillId="5" borderId="1" xfId="4" applyFont="1" applyFill="1" applyBorder="1" applyAlignment="1">
      <alignment horizontal="center" vertical="center" wrapText="1"/>
    </xf>
    <xf numFmtId="167" fontId="7" fillId="3" borderId="1" xfId="4" applyFont="1" applyFill="1" applyBorder="1" applyAlignment="1">
      <alignment horizontal="center" vertical="center"/>
    </xf>
    <xf numFmtId="167" fontId="5" fillId="3" borderId="1" xfId="4" applyFont="1" applyFill="1" applyBorder="1" applyAlignment="1">
      <alignment horizontal="center" vertical="center"/>
    </xf>
    <xf numFmtId="167" fontId="5" fillId="8" borderId="1" xfId="4" applyFont="1" applyFill="1" applyBorder="1" applyAlignment="1">
      <alignment horizontal="center" vertical="center" wrapText="1"/>
    </xf>
    <xf numFmtId="167" fontId="5" fillId="0" borderId="1" xfId="4" applyFont="1" applyBorder="1" applyAlignment="1">
      <alignment horizontal="center" vertical="center" wrapText="1"/>
    </xf>
    <xf numFmtId="167" fontId="5" fillId="8" borderId="1" xfId="4" applyFont="1" applyFill="1" applyBorder="1" applyAlignment="1">
      <alignment horizontal="center" vertical="center"/>
    </xf>
    <xf numFmtId="167" fontId="5" fillId="0" borderId="1" xfId="4" applyFont="1" applyFill="1" applyBorder="1" applyAlignment="1">
      <alignment horizontal="center" vertical="center"/>
    </xf>
    <xf numFmtId="167" fontId="9" fillId="0" borderId="1" xfId="4" applyFont="1" applyFill="1" applyBorder="1" applyAlignment="1">
      <alignment horizontal="center" vertical="center"/>
    </xf>
    <xf numFmtId="167" fontId="9" fillId="8" borderId="1" xfId="4" applyFont="1" applyFill="1" applyBorder="1" applyAlignment="1">
      <alignment horizontal="center" vertical="center"/>
    </xf>
    <xf numFmtId="167" fontId="34" fillId="8" borderId="1" xfId="4" applyFont="1" applyFill="1" applyBorder="1" applyAlignment="1">
      <alignment horizontal="center" vertical="center"/>
    </xf>
    <xf numFmtId="167" fontId="34" fillId="0" borderId="1" xfId="4" applyFont="1" applyFill="1" applyBorder="1" applyAlignment="1">
      <alignment horizontal="center" vertical="center"/>
    </xf>
    <xf numFmtId="167" fontId="35" fillId="0" borderId="1" xfId="4" applyFont="1" applyFill="1" applyBorder="1" applyAlignment="1">
      <alignment horizontal="center" vertical="center"/>
    </xf>
    <xf numFmtId="167" fontId="35" fillId="8" borderId="1" xfId="4" applyFont="1" applyFill="1" applyBorder="1" applyAlignment="1">
      <alignment horizontal="center" vertical="center"/>
    </xf>
    <xf numFmtId="167" fontId="35" fillId="0" borderId="1" xfId="4" applyFont="1" applyBorder="1" applyAlignment="1">
      <alignment horizontal="center" vertical="center"/>
    </xf>
    <xf numFmtId="167" fontId="34" fillId="8" borderId="1" xfId="4" applyFont="1" applyFill="1" applyBorder="1" applyAlignment="1">
      <alignment horizontal="center" vertical="center" wrapText="1"/>
    </xf>
    <xf numFmtId="167" fontId="7" fillId="0" borderId="1" xfId="4" applyFont="1" applyFill="1" applyBorder="1" applyAlignment="1">
      <alignment horizontal="center" vertical="center"/>
    </xf>
    <xf numFmtId="167" fontId="5" fillId="0" borderId="2" xfId="4" applyFont="1" applyBorder="1" applyAlignment="1">
      <alignment horizontal="center" vertical="center"/>
    </xf>
    <xf numFmtId="167" fontId="5" fillId="5" borderId="2" xfId="4" applyFont="1" applyFill="1" applyBorder="1" applyAlignment="1">
      <alignment horizontal="center" vertical="center"/>
    </xf>
    <xf numFmtId="167" fontId="5" fillId="5" borderId="1" xfId="4" applyFont="1" applyFill="1" applyBorder="1" applyAlignment="1">
      <alignment horizontal="center" vertical="center"/>
    </xf>
    <xf numFmtId="167" fontId="5" fillId="0" borderId="2" xfId="4" applyFont="1" applyBorder="1" applyAlignment="1">
      <alignment horizontal="center" vertical="center" wrapText="1"/>
    </xf>
    <xf numFmtId="167" fontId="5" fillId="8" borderId="2" xfId="4" applyFont="1" applyFill="1" applyBorder="1" applyAlignment="1">
      <alignment horizontal="center" vertical="center" wrapText="1"/>
    </xf>
    <xf numFmtId="167" fontId="7" fillId="8" borderId="1" xfId="4" applyFont="1" applyFill="1" applyBorder="1" applyAlignment="1">
      <alignment horizontal="center" vertical="center" wrapText="1"/>
    </xf>
    <xf numFmtId="167" fontId="7" fillId="8" borderId="2" xfId="4" applyFont="1" applyFill="1" applyBorder="1" applyAlignment="1">
      <alignment horizontal="center" vertical="center" wrapText="1"/>
    </xf>
    <xf numFmtId="167" fontId="5" fillId="8" borderId="2" xfId="4" applyFont="1" applyFill="1" applyBorder="1" applyAlignment="1">
      <alignment horizontal="center" vertical="center"/>
    </xf>
    <xf numFmtId="167" fontId="7" fillId="0" borderId="2" xfId="4" applyFont="1" applyFill="1" applyBorder="1" applyAlignment="1">
      <alignment horizontal="center" vertical="center"/>
    </xf>
    <xf numFmtId="167" fontId="9" fillId="8" borderId="2" xfId="4" applyFont="1" applyFill="1" applyBorder="1" applyAlignment="1">
      <alignment horizontal="center" vertical="center"/>
    </xf>
    <xf numFmtId="167" fontId="9" fillId="0" borderId="1" xfId="4" applyFont="1" applyBorder="1" applyAlignment="1">
      <alignment horizontal="center" vertical="center" wrapText="1"/>
    </xf>
    <xf numFmtId="167" fontId="9" fillId="0" borderId="1" xfId="4" applyFont="1" applyBorder="1" applyAlignment="1">
      <alignment horizontal="center" vertical="center"/>
    </xf>
    <xf numFmtId="167" fontId="9" fillId="0" borderId="2" xfId="4" applyFont="1" applyBorder="1" applyAlignment="1">
      <alignment horizontal="center" vertical="center"/>
    </xf>
    <xf numFmtId="167" fontId="9" fillId="8" borderId="1" xfId="4" applyFont="1" applyFill="1" applyBorder="1" applyAlignment="1">
      <alignment horizontal="center" vertical="center" wrapText="1"/>
    </xf>
    <xf numFmtId="167" fontId="9" fillId="8" borderId="2" xfId="4" applyFont="1" applyFill="1" applyBorder="1" applyAlignment="1">
      <alignment horizontal="center" vertical="center" wrapText="1"/>
    </xf>
    <xf numFmtId="167" fontId="9" fillId="5" borderId="1" xfId="4" applyFont="1" applyFill="1" applyBorder="1" applyAlignment="1">
      <alignment horizontal="center" vertical="center" wrapText="1"/>
    </xf>
    <xf numFmtId="167" fontId="9" fillId="5" borderId="1" xfId="4" applyFont="1" applyFill="1" applyBorder="1" applyAlignment="1">
      <alignment horizontal="center" vertical="center"/>
    </xf>
    <xf numFmtId="167" fontId="9" fillId="5" borderId="2" xfId="4" applyFont="1" applyFill="1" applyBorder="1" applyAlignment="1">
      <alignment horizontal="center" vertical="center"/>
    </xf>
    <xf numFmtId="167" fontId="9" fillId="0" borderId="2" xfId="4" applyFont="1" applyBorder="1" applyAlignment="1">
      <alignment horizontal="center" vertical="center" wrapText="1"/>
    </xf>
    <xf numFmtId="167" fontId="9" fillId="5" borderId="2" xfId="4" applyFont="1" applyFill="1" applyBorder="1" applyAlignment="1">
      <alignment horizontal="center" vertical="center" wrapText="1"/>
    </xf>
    <xf numFmtId="167" fontId="5" fillId="0" borderId="3" xfId="4" applyFont="1" applyBorder="1" applyAlignment="1">
      <alignment horizontal="center" vertical="center"/>
    </xf>
    <xf numFmtId="167" fontId="5" fillId="0" borderId="14" xfId="4" applyFont="1" applyBorder="1" applyAlignment="1">
      <alignment horizontal="center" vertical="center"/>
    </xf>
    <xf numFmtId="167" fontId="5" fillId="0" borderId="1" xfId="4" applyFont="1" applyFill="1" applyBorder="1" applyAlignment="1">
      <alignment horizontal="center" vertical="center" wrapText="1"/>
    </xf>
    <xf numFmtId="167" fontId="15" fillId="4" borderId="2" xfId="4" applyFont="1" applyFill="1" applyBorder="1" applyAlignment="1" applyProtection="1">
      <alignment horizontal="center" vertical="center"/>
      <protection locked="0"/>
    </xf>
    <xf numFmtId="167" fontId="16" fillId="4" borderId="2" xfId="4" applyFont="1" applyFill="1" applyBorder="1" applyAlignment="1" applyProtection="1">
      <alignment horizontal="center" vertical="center"/>
      <protection locked="0"/>
    </xf>
    <xf numFmtId="167" fontId="16" fillId="4" borderId="7" xfId="4" applyFont="1" applyFill="1" applyBorder="1" applyAlignment="1" applyProtection="1">
      <alignment horizontal="center" vertical="center"/>
      <protection locked="0"/>
    </xf>
    <xf numFmtId="167" fontId="15" fillId="4" borderId="8" xfId="4" applyFont="1" applyFill="1" applyBorder="1" applyAlignment="1" applyProtection="1">
      <alignment horizontal="center" vertical="center"/>
      <protection locked="0"/>
    </xf>
    <xf numFmtId="167" fontId="16" fillId="8" borderId="2" xfId="4" applyFont="1" applyFill="1" applyBorder="1" applyAlignment="1" applyProtection="1">
      <alignment horizontal="center" vertical="center"/>
      <protection locked="0"/>
    </xf>
    <xf numFmtId="0" fontId="34" fillId="0" borderId="1" xfId="0" applyFont="1" applyBorder="1" applyAlignment="1">
      <alignment vertical="top" wrapText="1"/>
    </xf>
    <xf numFmtId="0" fontId="0" fillId="0" borderId="0" xfId="0" applyAlignment="1">
      <alignment vertical="top"/>
    </xf>
    <xf numFmtId="0" fontId="0" fillId="3" borderId="1" xfId="0" applyFill="1" applyBorder="1" applyAlignment="1">
      <alignment vertical="top"/>
    </xf>
    <xf numFmtId="0" fontId="5" fillId="0" borderId="1" xfId="0" applyFont="1" applyBorder="1" applyAlignment="1">
      <alignment vertical="top"/>
    </xf>
    <xf numFmtId="0" fontId="9" fillId="0" borderId="1" xfId="53" applyFont="1" applyBorder="1" applyAlignment="1">
      <alignment vertical="top" wrapText="1"/>
    </xf>
    <xf numFmtId="0" fontId="5" fillId="0" borderId="2" xfId="0" applyFont="1" applyBorder="1" applyAlignment="1">
      <alignment vertical="top" wrapText="1"/>
    </xf>
    <xf numFmtId="0" fontId="35" fillId="0" borderId="1" xfId="0" applyFont="1" applyBorder="1" applyAlignment="1">
      <alignment vertical="top" wrapText="1"/>
    </xf>
    <xf numFmtId="0" fontId="34" fillId="0" borderId="1" xfId="53" applyFont="1" applyBorder="1" applyAlignment="1">
      <alignment vertical="top" wrapText="1"/>
    </xf>
    <xf numFmtId="0" fontId="35" fillId="0" borderId="2" xfId="0" applyFont="1" applyBorder="1" applyAlignment="1">
      <alignment vertical="top" wrapText="1"/>
    </xf>
    <xf numFmtId="0" fontId="11" fillId="3" borderId="1" xfId="0" applyFont="1" applyFill="1" applyBorder="1" applyAlignment="1">
      <alignment vertical="top"/>
    </xf>
    <xf numFmtId="0" fontId="5" fillId="7" borderId="1" xfId="0" applyFont="1" applyFill="1" applyBorder="1" applyAlignment="1" applyProtection="1">
      <alignment vertical="top" wrapText="1"/>
      <protection locked="0"/>
    </xf>
    <xf numFmtId="0" fontId="5" fillId="4" borderId="6" xfId="0" applyFont="1" applyFill="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4" borderId="6" xfId="0" applyFont="1" applyFill="1" applyBorder="1" applyAlignment="1" applyProtection="1">
      <alignment vertical="top"/>
      <protection locked="0"/>
    </xf>
    <xf numFmtId="0" fontId="5" fillId="5" borderId="1" xfId="0" applyFont="1" applyFill="1" applyBorder="1" applyAlignment="1">
      <alignment vertical="top" wrapText="1"/>
    </xf>
    <xf numFmtId="0" fontId="7" fillId="8" borderId="1" xfId="0" applyFont="1" applyFill="1" applyBorder="1" applyAlignment="1">
      <alignment vertical="top" wrapText="1"/>
    </xf>
    <xf numFmtId="0" fontId="5" fillId="8" borderId="1" xfId="0" applyFont="1" applyFill="1" applyBorder="1" applyAlignment="1">
      <alignment vertical="top" wrapText="1"/>
    </xf>
    <xf numFmtId="0" fontId="5" fillId="0" borderId="6" xfId="0" applyFont="1" applyBorder="1" applyAlignment="1">
      <alignment vertical="top" wrapText="1"/>
    </xf>
    <xf numFmtId="0" fontId="9" fillId="0" borderId="0" xfId="0" applyFont="1" applyAlignment="1">
      <alignment vertical="top" wrapText="1"/>
    </xf>
    <xf numFmtId="4" fontId="9" fillId="0" borderId="1" xfId="0" applyNumberFormat="1" applyFont="1" applyBorder="1" applyAlignment="1">
      <alignment vertical="top" wrapText="1"/>
    </xf>
    <xf numFmtId="4" fontId="9" fillId="5" borderId="1" xfId="0" applyNumberFormat="1" applyFont="1" applyFill="1" applyBorder="1" applyAlignment="1">
      <alignment vertical="top" wrapText="1"/>
    </xf>
    <xf numFmtId="0" fontId="9" fillId="5" borderId="1" xfId="0" applyFont="1" applyFill="1" applyBorder="1" applyAlignment="1">
      <alignment vertical="top" wrapText="1"/>
    </xf>
    <xf numFmtId="0" fontId="28" fillId="3" borderId="1" xfId="0" applyFont="1" applyFill="1" applyBorder="1" applyAlignment="1">
      <alignment vertical="top"/>
    </xf>
    <xf numFmtId="0" fontId="6" fillId="5" borderId="1" xfId="0" applyFont="1" applyFill="1" applyBorder="1" applyAlignment="1">
      <alignment vertical="top" wrapText="1"/>
    </xf>
    <xf numFmtId="0" fontId="6" fillId="0" borderId="3" xfId="0" applyFont="1" applyBorder="1" applyAlignment="1">
      <alignment vertical="top" wrapText="1"/>
    </xf>
    <xf numFmtId="0" fontId="16" fillId="4" borderId="6" xfId="0" applyFont="1" applyFill="1" applyBorder="1" applyAlignment="1" applyProtection="1">
      <alignment vertical="top"/>
      <protection locked="0"/>
    </xf>
    <xf numFmtId="0" fontId="5" fillId="8" borderId="6" xfId="0" applyFont="1" applyFill="1" applyBorder="1" applyAlignment="1">
      <alignment vertical="top" wrapText="1"/>
    </xf>
    <xf numFmtId="0" fontId="17" fillId="0" borderId="1" xfId="0" applyFont="1" applyBorder="1" applyAlignment="1">
      <alignment vertical="top" wrapText="1"/>
    </xf>
    <xf numFmtId="0" fontId="9" fillId="8" borderId="6" xfId="0" applyFont="1" applyFill="1" applyBorder="1" applyAlignment="1">
      <alignment vertical="top" wrapText="1"/>
    </xf>
    <xf numFmtId="0" fontId="15" fillId="4" borderId="6" xfId="0" applyFont="1" applyFill="1" applyBorder="1" applyAlignment="1" applyProtection="1">
      <alignment vertical="top"/>
      <protection locked="0"/>
    </xf>
    <xf numFmtId="0" fontId="16" fillId="8" borderId="6" xfId="0" applyFont="1" applyFill="1" applyBorder="1" applyAlignment="1" applyProtection="1">
      <alignment vertical="top"/>
      <protection locked="0"/>
    </xf>
    <xf numFmtId="0" fontId="16" fillId="9" borderId="1" xfId="0" applyFont="1" applyFill="1" applyBorder="1" applyAlignment="1" applyProtection="1">
      <alignment vertical="top"/>
      <protection locked="0"/>
    </xf>
    <xf numFmtId="0" fontId="16" fillId="9" borderId="6" xfId="0" applyFont="1" applyFill="1" applyBorder="1" applyAlignment="1" applyProtection="1">
      <alignment vertical="top"/>
      <protection locked="0"/>
    </xf>
    <xf numFmtId="0" fontId="16" fillId="0" borderId="1" xfId="0" applyFont="1" applyBorder="1" applyAlignment="1" applyProtection="1">
      <alignment vertical="top" wrapText="1"/>
      <protection locked="0"/>
    </xf>
    <xf numFmtId="0" fontId="29" fillId="3" borderId="1" xfId="0" applyFont="1" applyFill="1" applyBorder="1" applyAlignment="1">
      <alignment vertical="top"/>
    </xf>
    <xf numFmtId="49" fontId="27" fillId="8" borderId="6" xfId="0" applyNumberFormat="1" applyFont="1" applyFill="1" applyBorder="1" applyAlignment="1">
      <alignment vertical="top" wrapText="1"/>
    </xf>
    <xf numFmtId="49" fontId="27" fillId="0" borderId="4" xfId="0" applyNumberFormat="1" applyFont="1" applyBorder="1" applyAlignment="1">
      <alignment vertical="top" wrapText="1"/>
    </xf>
    <xf numFmtId="0" fontId="16" fillId="7" borderId="1" xfId="0" applyFont="1" applyFill="1" applyBorder="1" applyAlignment="1" applyProtection="1">
      <alignment vertical="top" wrapText="1"/>
      <protection locked="0"/>
    </xf>
    <xf numFmtId="0" fontId="5" fillId="8" borderId="6" xfId="0" applyFont="1" applyFill="1" applyBorder="1" applyAlignment="1">
      <alignment vertical="top"/>
    </xf>
    <xf numFmtId="0" fontId="29" fillId="0" borderId="1" xfId="0" applyFont="1" applyBorder="1" applyAlignment="1">
      <alignment vertical="top" wrapText="1"/>
    </xf>
    <xf numFmtId="0" fontId="29" fillId="0" borderId="14" xfId="0" applyFont="1" applyBorder="1" applyAlignment="1">
      <alignment vertical="top" wrapText="1"/>
    </xf>
    <xf numFmtId="0" fontId="37" fillId="0" borderId="1" xfId="0" applyFont="1" applyBorder="1" applyAlignment="1">
      <alignment vertical="top" wrapText="1"/>
    </xf>
    <xf numFmtId="0" fontId="15" fillId="3" borderId="6" xfId="0" applyFont="1" applyFill="1" applyBorder="1" applyAlignment="1" applyProtection="1">
      <alignment vertical="top"/>
      <protection locked="0"/>
    </xf>
    <xf numFmtId="0" fontId="32" fillId="8" borderId="6" xfId="0" applyFont="1" applyFill="1" applyBorder="1" applyAlignment="1" applyProtection="1">
      <alignment vertical="top"/>
      <protection locked="0"/>
    </xf>
    <xf numFmtId="0" fontId="32" fillId="4" borderId="6" xfId="0" applyFont="1" applyFill="1" applyBorder="1" applyAlignment="1" applyProtection="1">
      <alignment vertical="top"/>
      <protection locked="0"/>
    </xf>
    <xf numFmtId="0" fontId="32" fillId="9" borderId="6" xfId="0" applyFont="1" applyFill="1" applyBorder="1" applyAlignment="1" applyProtection="1">
      <alignment vertical="top"/>
      <protection locked="0"/>
    </xf>
    <xf numFmtId="0" fontId="6" fillId="8" borderId="1" xfId="0" applyFont="1" applyFill="1" applyBorder="1" applyAlignment="1">
      <alignment vertical="top"/>
    </xf>
    <xf numFmtId="0" fontId="6" fillId="0" borderId="2" xfId="0" applyFont="1" applyBorder="1" applyAlignment="1">
      <alignment vertical="top"/>
    </xf>
    <xf numFmtId="0" fontId="6" fillId="0" borderId="1" xfId="0" applyFont="1" applyBorder="1" applyAlignment="1">
      <alignment vertical="top"/>
    </xf>
    <xf numFmtId="0" fontId="30" fillId="5" borderId="1" xfId="0" applyFont="1" applyFill="1" applyBorder="1" applyAlignment="1">
      <alignment vertical="top" wrapText="1"/>
    </xf>
    <xf numFmtId="0" fontId="17" fillId="0" borderId="1" xfId="0" applyFont="1" applyBorder="1" applyAlignment="1">
      <alignment vertical="top"/>
    </xf>
    <xf numFmtId="43" fontId="16" fillId="0" borderId="1" xfId="69" applyFont="1" applyFill="1" applyBorder="1" applyAlignment="1">
      <alignment horizontal="center" vertical="center"/>
    </xf>
    <xf numFmtId="165"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8" borderId="1" xfId="0" applyFont="1" applyFill="1" applyBorder="1" applyAlignment="1">
      <alignment horizontal="center" vertical="center" wrapText="1"/>
    </xf>
    <xf numFmtId="167" fontId="7" fillId="8" borderId="1" xfId="4" applyFont="1" applyFill="1" applyBorder="1" applyAlignment="1">
      <alignment horizontal="center" vertical="center"/>
    </xf>
    <xf numFmtId="0" fontId="7" fillId="8" borderId="1" xfId="0" applyFont="1" applyFill="1" applyBorder="1" applyAlignment="1">
      <alignment horizontal="center" vertical="top"/>
    </xf>
    <xf numFmtId="0" fontId="11" fillId="3" borderId="1" xfId="0" applyFont="1" applyFill="1" applyBorder="1" applyAlignment="1">
      <alignment horizontal="center" vertical="top"/>
    </xf>
    <xf numFmtId="0" fontId="16" fillId="4" borderId="2" xfId="0" applyFont="1" applyFill="1" applyBorder="1" applyAlignment="1" applyProtection="1">
      <alignment horizontal="center" vertical="center"/>
      <protection locked="0"/>
    </xf>
    <xf numFmtId="170" fontId="9" fillId="0" borderId="1" xfId="69" applyNumberFormat="1" applyFont="1" applyBorder="1" applyAlignment="1">
      <alignment horizontal="left" vertical="center" wrapText="1"/>
    </xf>
    <xf numFmtId="0" fontId="6" fillId="0" borderId="1" xfId="0" applyFont="1" applyBorder="1" applyAlignment="1">
      <alignment vertical="center" wrapText="1"/>
    </xf>
    <xf numFmtId="0" fontId="5" fillId="8"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6" fillId="8" borderId="2"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protection locked="0"/>
    </xf>
    <xf numFmtId="0" fontId="9" fillId="8" borderId="5" xfId="0" applyFont="1" applyFill="1" applyBorder="1" applyAlignment="1">
      <alignment horizontal="left" vertical="center" wrapText="1"/>
    </xf>
    <xf numFmtId="0" fontId="16" fillId="3" borderId="1" xfId="0" applyFont="1" applyFill="1" applyBorder="1" applyAlignment="1" applyProtection="1">
      <alignment horizontal="left" vertical="center"/>
      <protection locked="0"/>
    </xf>
    <xf numFmtId="0" fontId="9" fillId="8"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70" fontId="9" fillId="0" borderId="1" xfId="69" applyNumberFormat="1" applyFont="1" applyBorder="1" applyAlignment="1">
      <alignment horizontal="center" vertical="center" wrapText="1"/>
    </xf>
    <xf numFmtId="170" fontId="9" fillId="0" borderId="1" xfId="0" applyNumberFormat="1" applyFont="1" applyBorder="1" applyAlignment="1">
      <alignment horizontal="center" vertical="center"/>
    </xf>
    <xf numFmtId="170" fontId="5" fillId="0" borderId="1"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8"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32" fillId="8"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5" fillId="0" borderId="0" xfId="0" applyFont="1" applyAlignment="1">
      <alignment horizontal="center" vertical="center" wrapText="1"/>
    </xf>
    <xf numFmtId="0" fontId="0" fillId="0" borderId="0" xfId="0" applyAlignment="1">
      <alignment horizontal="center" vertical="center"/>
    </xf>
    <xf numFmtId="0" fontId="7" fillId="4" borderId="1" xfId="0" applyFont="1" applyFill="1" applyBorder="1" applyAlignment="1" applyProtection="1">
      <alignment horizontal="left" vertical="center"/>
      <protection locked="0"/>
    </xf>
    <xf numFmtId="43" fontId="5" fillId="0" borderId="1" xfId="69" applyFont="1" applyBorder="1" applyAlignment="1">
      <alignment horizontal="center" vertical="center" wrapText="1"/>
    </xf>
    <xf numFmtId="167" fontId="16" fillId="8" borderId="1" xfId="4" applyFont="1" applyFill="1" applyBorder="1" applyAlignment="1">
      <alignment horizontal="center" vertical="center"/>
    </xf>
    <xf numFmtId="0" fontId="9" fillId="3" borderId="1" xfId="0" applyFont="1" applyFill="1" applyBorder="1" applyAlignment="1">
      <alignment horizontal="left"/>
    </xf>
    <xf numFmtId="164" fontId="9" fillId="2" borderId="1" xfId="0" applyNumberFormat="1" applyFont="1" applyFill="1" applyBorder="1" applyAlignment="1">
      <alignment horizontal="left"/>
    </xf>
    <xf numFmtId="0" fontId="39" fillId="10" borderId="1" xfId="0" applyFont="1" applyFill="1" applyBorder="1" applyAlignment="1" applyProtection="1">
      <alignment horizontal="left" vertical="center"/>
      <protection locked="0"/>
    </xf>
    <xf numFmtId="0" fontId="39" fillId="10" borderId="1" xfId="69" applyNumberFormat="1" applyFont="1" applyFill="1" applyBorder="1" applyAlignment="1" applyProtection="1">
      <alignment vertical="center" wrapText="1"/>
      <protection locked="0"/>
    </xf>
    <xf numFmtId="167" fontId="9" fillId="0" borderId="1" xfId="5" applyFont="1" applyBorder="1" applyAlignment="1">
      <alignment horizontal="center" vertical="center"/>
    </xf>
    <xf numFmtId="167" fontId="17" fillId="10" borderId="1" xfId="5" applyFont="1" applyFill="1" applyBorder="1" applyAlignment="1" applyProtection="1">
      <alignment horizontal="center" vertical="center"/>
    </xf>
    <xf numFmtId="167" fontId="17" fillId="0" borderId="1" xfId="5" applyFont="1" applyFill="1" applyBorder="1" applyAlignment="1" applyProtection="1">
      <alignment horizontal="center" vertical="center"/>
      <protection locked="0"/>
    </xf>
    <xf numFmtId="0" fontId="9" fillId="0" borderId="1" xfId="0" applyFont="1" applyBorder="1" applyAlignment="1">
      <alignment horizontal="left"/>
    </xf>
    <xf numFmtId="167" fontId="32" fillId="0" borderId="1" xfId="5" applyFont="1" applyFill="1" applyBorder="1" applyAlignment="1" applyProtection="1">
      <alignment horizontal="center" vertical="center"/>
    </xf>
    <xf numFmtId="0" fontId="9" fillId="2" borderId="1" xfId="0" applyFont="1" applyFill="1" applyBorder="1" applyAlignment="1">
      <alignment horizontal="left"/>
    </xf>
    <xf numFmtId="0" fontId="39" fillId="10" borderId="1" xfId="0" applyFont="1" applyFill="1" applyBorder="1" applyAlignment="1" applyProtection="1">
      <alignment horizontal="left" vertical="top"/>
      <protection locked="0"/>
    </xf>
    <xf numFmtId="167" fontId="17" fillId="0" borderId="1" xfId="5" applyFont="1" applyBorder="1" applyAlignment="1">
      <alignment horizontal="center" vertical="center"/>
    </xf>
    <xf numFmtId="167" fontId="17" fillId="0" borderId="2" xfId="5" applyFont="1" applyBorder="1" applyAlignment="1">
      <alignment horizontal="center" vertical="center"/>
    </xf>
    <xf numFmtId="167" fontId="32" fillId="12" borderId="1" xfId="5" applyFont="1" applyFill="1" applyBorder="1" applyAlignment="1">
      <alignment horizontal="center" vertical="center"/>
    </xf>
    <xf numFmtId="167" fontId="9" fillId="0" borderId="2" xfId="5" applyFont="1" applyBorder="1" applyAlignment="1">
      <alignment horizontal="center" vertical="center"/>
    </xf>
    <xf numFmtId="0" fontId="39" fillId="5" borderId="1" xfId="0" applyFont="1" applyFill="1" applyBorder="1" applyAlignment="1" applyProtection="1">
      <alignment horizontal="left" vertical="top"/>
      <protection locked="0"/>
    </xf>
    <xf numFmtId="167" fontId="17" fillId="10" borderId="1" xfId="5" applyFont="1" applyFill="1" applyBorder="1" applyAlignment="1">
      <alignment horizontal="center" vertical="center"/>
    </xf>
    <xf numFmtId="167" fontId="32" fillId="0" borderId="1" xfId="5" applyFont="1" applyBorder="1" applyAlignment="1">
      <alignment horizontal="center" vertical="center"/>
    </xf>
    <xf numFmtId="0" fontId="39" fillId="10" borderId="1" xfId="69" applyNumberFormat="1" applyFont="1" applyFill="1" applyBorder="1" applyAlignment="1" applyProtection="1">
      <alignment vertical="top" wrapText="1"/>
      <protection locked="0"/>
    </xf>
    <xf numFmtId="167" fontId="32" fillId="0" borderId="1" xfId="5" applyFont="1" applyFill="1" applyBorder="1" applyAlignment="1">
      <alignment horizontal="center" vertical="center"/>
    </xf>
    <xf numFmtId="167" fontId="17" fillId="0" borderId="1" xfId="5" applyFont="1" applyFill="1" applyBorder="1" applyAlignment="1">
      <alignment horizontal="center" vertical="center"/>
    </xf>
    <xf numFmtId="171" fontId="17" fillId="11" borderId="1" xfId="72" applyNumberFormat="1" applyFont="1" applyFill="1" applyBorder="1" applyAlignment="1" applyProtection="1">
      <alignment vertical="center"/>
    </xf>
    <xf numFmtId="0" fontId="39" fillId="0" borderId="1" xfId="0" applyFont="1" applyBorder="1" applyAlignment="1" applyProtection="1">
      <alignment horizontal="left" vertical="top"/>
      <protection locked="0"/>
    </xf>
    <xf numFmtId="0" fontId="39" fillId="0" borderId="1" xfId="69" applyNumberFormat="1" applyFont="1" applyFill="1" applyBorder="1" applyAlignment="1" applyProtection="1">
      <alignment vertical="center" wrapText="1"/>
      <protection locked="0"/>
    </xf>
    <xf numFmtId="167" fontId="17" fillId="0" borderId="1" xfId="5" applyFont="1" applyFill="1" applyBorder="1" applyAlignment="1" applyProtection="1">
      <alignment horizontal="center" vertical="center"/>
    </xf>
    <xf numFmtId="164" fontId="9" fillId="0" borderId="1" xfId="0" applyNumberFormat="1" applyFont="1" applyBorder="1" applyAlignment="1">
      <alignment horizontal="left"/>
    </xf>
    <xf numFmtId="167" fontId="9" fillId="0" borderId="1" xfId="5" applyFont="1" applyFill="1" applyBorder="1" applyAlignment="1">
      <alignment horizontal="center" vertical="center"/>
    </xf>
    <xf numFmtId="0" fontId="9" fillId="0" borderId="1" xfId="0" applyFont="1" applyBorder="1" applyAlignment="1">
      <alignment horizontal="left" wrapText="1"/>
    </xf>
    <xf numFmtId="164" fontId="9" fillId="0" borderId="1" xfId="0" applyNumberFormat="1" applyFont="1" applyBorder="1" applyAlignment="1">
      <alignment horizontal="left" wrapText="1"/>
    </xf>
    <xf numFmtId="0" fontId="39" fillId="0" borderId="1" xfId="0" applyFont="1" applyBorder="1" applyAlignment="1" applyProtection="1">
      <alignment horizontal="left" vertical="center"/>
      <protection locked="0"/>
    </xf>
    <xf numFmtId="167" fontId="9" fillId="0" borderId="1" xfId="5" applyFont="1" applyFill="1" applyBorder="1" applyAlignment="1">
      <alignment horizontal="center" vertical="center" wrapText="1"/>
    </xf>
    <xf numFmtId="167" fontId="41" fillId="0" borderId="1" xfId="5" applyFont="1" applyFill="1" applyBorder="1" applyAlignment="1">
      <alignment horizontal="center" vertical="center"/>
    </xf>
    <xf numFmtId="167" fontId="41" fillId="0" borderId="2" xfId="5" applyFont="1" applyFill="1" applyBorder="1" applyAlignment="1">
      <alignment horizontal="center" vertical="center"/>
    </xf>
    <xf numFmtId="167" fontId="9" fillId="0" borderId="2" xfId="5" applyFont="1" applyFill="1" applyBorder="1" applyAlignment="1">
      <alignment horizontal="center" vertical="center"/>
    </xf>
    <xf numFmtId="0" fontId="39" fillId="10" borderId="1" xfId="72" applyNumberFormat="1" applyFont="1" applyFill="1" applyBorder="1" applyAlignment="1" applyProtection="1">
      <alignment vertical="center" wrapText="1"/>
      <protection locked="0"/>
    </xf>
    <xf numFmtId="167" fontId="9" fillId="0" borderId="1" xfId="5" applyFont="1" applyBorder="1" applyAlignment="1">
      <alignment horizontal="center" vertical="center" wrapText="1"/>
    </xf>
    <xf numFmtId="167" fontId="9" fillId="5" borderId="1" xfId="5" applyFont="1" applyFill="1" applyBorder="1" applyAlignment="1">
      <alignment horizontal="center" vertical="center"/>
    </xf>
    <xf numFmtId="167" fontId="9" fillId="5" borderId="2" xfId="5" applyFont="1" applyFill="1" applyBorder="1" applyAlignment="1">
      <alignment horizontal="center" vertical="center"/>
    </xf>
    <xf numFmtId="0" fontId="9" fillId="2" borderId="1" xfId="0" applyFont="1" applyFill="1" applyBorder="1" applyAlignment="1">
      <alignment horizontal="left" wrapText="1"/>
    </xf>
    <xf numFmtId="0" fontId="8" fillId="10" borderId="1" xfId="0" applyFont="1" applyFill="1" applyBorder="1" applyAlignment="1" applyProtection="1">
      <alignment horizontal="left" vertical="top"/>
      <protection locked="0"/>
    </xf>
    <xf numFmtId="164" fontId="9" fillId="0" borderId="1" xfId="0" applyNumberFormat="1" applyFont="1" applyBorder="1"/>
    <xf numFmtId="0" fontId="9" fillId="0" borderId="0" xfId="0" applyFont="1"/>
    <xf numFmtId="0" fontId="9" fillId="2" borderId="0" xfId="0" applyFont="1" applyFill="1"/>
    <xf numFmtId="167" fontId="17" fillId="0" borderId="7" xfId="5" applyFont="1" applyFill="1" applyBorder="1" applyAlignment="1" applyProtection="1">
      <alignment horizontal="center" vertical="center"/>
      <protection locked="0"/>
    </xf>
    <xf numFmtId="0" fontId="17" fillId="0" borderId="18" xfId="0" applyFont="1" applyBorder="1" applyAlignment="1">
      <alignment vertical="center" wrapText="1"/>
    </xf>
    <xf numFmtId="169" fontId="5" fillId="0" borderId="1" xfId="0" applyNumberFormat="1" applyFont="1" applyBorder="1" applyAlignment="1">
      <alignment horizontal="center"/>
    </xf>
    <xf numFmtId="167" fontId="9" fillId="3" borderId="2" xfId="5" applyFont="1" applyFill="1" applyBorder="1" applyAlignment="1">
      <alignment horizontal="center" vertical="center"/>
    </xf>
    <xf numFmtId="0" fontId="9" fillId="2" borderId="1" xfId="0" applyFont="1" applyFill="1" applyBorder="1" applyAlignment="1">
      <alignment horizontal="center" wrapText="1"/>
    </xf>
    <xf numFmtId="167" fontId="17" fillId="11" borderId="1" xfId="5" applyFont="1" applyFill="1" applyBorder="1" applyAlignment="1" applyProtection="1">
      <alignment horizontal="center" vertical="center"/>
    </xf>
    <xf numFmtId="167" fontId="17" fillId="11" borderId="1" xfId="5" applyFont="1" applyFill="1" applyBorder="1" applyAlignment="1">
      <alignment horizontal="center" vertical="center"/>
    </xf>
    <xf numFmtId="167" fontId="9" fillId="0" borderId="2" xfId="5" applyFont="1" applyFill="1" applyBorder="1" applyAlignment="1">
      <alignment horizontal="center" vertical="center" wrapText="1"/>
    </xf>
    <xf numFmtId="167" fontId="32" fillId="11" borderId="1" xfId="5" applyFont="1" applyFill="1" applyBorder="1" applyAlignment="1">
      <alignment horizontal="center" vertical="center"/>
    </xf>
    <xf numFmtId="167" fontId="17" fillId="11" borderId="2" xfId="5" applyFont="1" applyFill="1" applyBorder="1" applyAlignment="1" applyProtection="1">
      <alignment horizontal="center" vertical="center"/>
    </xf>
    <xf numFmtId="0" fontId="43" fillId="0" borderId="1" xfId="0" applyFont="1" applyBorder="1"/>
    <xf numFmtId="0" fontId="43" fillId="0" borderId="0" xfId="0" applyFont="1"/>
    <xf numFmtId="0" fontId="43" fillId="0" borderId="0" xfId="0" applyFont="1" applyAlignment="1">
      <alignment horizontal="center" vertical="center"/>
    </xf>
    <xf numFmtId="0" fontId="43" fillId="0" borderId="0" xfId="0" applyFont="1" applyAlignment="1">
      <alignment horizontal="left" vertical="center"/>
    </xf>
    <xf numFmtId="0" fontId="43" fillId="0" borderId="0" xfId="0" applyFont="1" applyAlignment="1">
      <alignment vertical="top"/>
    </xf>
    <xf numFmtId="4" fontId="43" fillId="0" borderId="0" xfId="4" applyNumberFormat="1" applyFont="1" applyAlignment="1">
      <alignment horizontal="center" vertical="center"/>
    </xf>
    <xf numFmtId="0" fontId="44" fillId="0" borderId="1" xfId="0" applyFont="1" applyBorder="1"/>
    <xf numFmtId="0" fontId="44" fillId="0" borderId="0" xfId="0" applyFont="1" applyAlignment="1">
      <alignment horizontal="center" vertical="center"/>
    </xf>
    <xf numFmtId="0" fontId="44" fillId="0" borderId="0" xfId="0" applyFont="1" applyAlignment="1">
      <alignment horizontal="left" vertical="center"/>
    </xf>
    <xf numFmtId="0" fontId="44" fillId="0" borderId="0" xfId="0" applyFont="1" applyAlignment="1">
      <alignment vertical="top"/>
    </xf>
    <xf numFmtId="4" fontId="44" fillId="0" borderId="0" xfId="4" applyNumberFormat="1" applyFont="1" applyAlignment="1">
      <alignment horizontal="center" vertical="center"/>
    </xf>
    <xf numFmtId="0" fontId="44" fillId="0" borderId="0" xfId="0" applyFont="1"/>
    <xf numFmtId="0" fontId="43" fillId="0" borderId="1" xfId="0" applyFont="1" applyBorder="1" applyAlignment="1">
      <alignment horizontal="left" vertical="center" wrapText="1"/>
    </xf>
    <xf numFmtId="0" fontId="43" fillId="2" borderId="1" xfId="0" applyFont="1" applyFill="1" applyBorder="1" applyAlignment="1">
      <alignment horizontal="left" vertical="center" wrapText="1"/>
    </xf>
    <xf numFmtId="0" fontId="43" fillId="5" borderId="6" xfId="0" applyFont="1" applyFill="1" applyBorder="1" applyAlignment="1">
      <alignment horizontal="center" vertical="center" wrapText="1"/>
    </xf>
    <xf numFmtId="4" fontId="43" fillId="14" borderId="1" xfId="4" applyNumberFormat="1" applyFont="1" applyFill="1" applyBorder="1" applyAlignment="1">
      <alignment horizontal="center" vertical="center" wrapText="1"/>
    </xf>
    <xf numFmtId="0" fontId="43" fillId="4" borderId="6" xfId="0" applyFont="1" applyFill="1" applyBorder="1" applyAlignment="1">
      <alignment horizontal="center" vertical="center"/>
    </xf>
    <xf numFmtId="4" fontId="45" fillId="3" borderId="1" xfId="4" applyNumberFormat="1" applyFont="1" applyFill="1" applyBorder="1" applyAlignment="1">
      <alignment horizontal="center" vertical="center"/>
    </xf>
    <xf numFmtId="4" fontId="43" fillId="16" borderId="1" xfId="4" applyNumberFormat="1" applyFont="1" applyFill="1" applyBorder="1" applyAlignment="1">
      <alignment horizontal="center" vertical="center"/>
    </xf>
    <xf numFmtId="0" fontId="43" fillId="0" borderId="6" xfId="0" applyFont="1" applyBorder="1" applyAlignment="1">
      <alignment horizontal="center" vertical="center" wrapText="1"/>
    </xf>
    <xf numFmtId="0" fontId="43" fillId="0" borderId="1" xfId="0" applyFont="1" applyBorder="1" applyAlignment="1">
      <alignment horizontal="left" vertical="center"/>
    </xf>
    <xf numFmtId="0" fontId="43" fillId="0" borderId="1" xfId="0" applyFont="1" applyBorder="1" applyAlignment="1">
      <alignment vertical="top" wrapText="1"/>
    </xf>
    <xf numFmtId="4" fontId="43" fillId="0" borderId="1" xfId="4" applyNumberFormat="1" applyFont="1" applyBorder="1" applyAlignment="1">
      <alignment horizontal="center" vertical="center"/>
    </xf>
    <xf numFmtId="0" fontId="47" fillId="0" borderId="1" xfId="0" applyFont="1" applyBorder="1"/>
    <xf numFmtId="0" fontId="47" fillId="0" borderId="6" xfId="0" applyFont="1" applyBorder="1" applyAlignment="1">
      <alignment horizontal="center" vertical="center" wrapText="1"/>
    </xf>
    <xf numFmtId="0" fontId="47" fillId="0" borderId="1" xfId="0" applyFont="1" applyBorder="1" applyAlignment="1">
      <alignment horizontal="left" vertical="center" wrapText="1"/>
    </xf>
    <xf numFmtId="0" fontId="47" fillId="5" borderId="1" xfId="0" applyFont="1" applyFill="1" applyBorder="1" applyAlignment="1">
      <alignment horizontal="left" vertical="center" wrapText="1"/>
    </xf>
    <xf numFmtId="4" fontId="47" fillId="0" borderId="1" xfId="4" applyNumberFormat="1" applyFont="1" applyBorder="1" applyAlignment="1">
      <alignment horizontal="center" vertical="center"/>
    </xf>
    <xf numFmtId="0" fontId="47" fillId="0" borderId="0" xfId="0" applyFont="1"/>
    <xf numFmtId="4" fontId="43" fillId="5" borderId="1" xfId="4" applyNumberFormat="1" applyFont="1" applyFill="1" applyBorder="1" applyAlignment="1">
      <alignment horizontal="center" vertical="center"/>
    </xf>
    <xf numFmtId="4" fontId="47" fillId="5" borderId="1" xfId="4" applyNumberFormat="1" applyFont="1" applyFill="1" applyBorder="1" applyAlignment="1">
      <alignment horizontal="center" vertical="center"/>
    </xf>
    <xf numFmtId="0" fontId="43" fillId="13" borderId="0" xfId="0" applyFont="1" applyFill="1"/>
    <xf numFmtId="4" fontId="43" fillId="0" borderId="1" xfId="4" applyNumberFormat="1" applyFont="1" applyFill="1" applyBorder="1" applyAlignment="1">
      <alignment horizontal="center" vertical="center"/>
    </xf>
    <xf numFmtId="0" fontId="43" fillId="5" borderId="1" xfId="0" applyFont="1" applyFill="1" applyBorder="1" applyAlignment="1">
      <alignment horizontal="left" vertical="center"/>
    </xf>
    <xf numFmtId="0" fontId="43" fillId="5" borderId="1" xfId="0" applyFont="1" applyFill="1" applyBorder="1" applyAlignment="1">
      <alignment vertical="top" wrapText="1"/>
    </xf>
    <xf numFmtId="0" fontId="43" fillId="5" borderId="0" xfId="0" applyFont="1" applyFill="1"/>
    <xf numFmtId="0" fontId="47" fillId="5" borderId="1" xfId="0" applyFont="1" applyFill="1" applyBorder="1"/>
    <xf numFmtId="0" fontId="47" fillId="5" borderId="6" xfId="0" applyFont="1" applyFill="1" applyBorder="1" applyAlignment="1">
      <alignment horizontal="center" vertical="center" wrapText="1"/>
    </xf>
    <xf numFmtId="0" fontId="47" fillId="5" borderId="0" xfId="0" applyFont="1" applyFill="1"/>
    <xf numFmtId="4" fontId="47" fillId="0" borderId="1" xfId="4" applyNumberFormat="1" applyFont="1" applyFill="1" applyBorder="1" applyAlignment="1">
      <alignment horizontal="center" vertical="center"/>
    </xf>
    <xf numFmtId="4" fontId="47" fillId="16" borderId="1" xfId="4" applyNumberFormat="1" applyFont="1" applyFill="1" applyBorder="1" applyAlignment="1">
      <alignment horizontal="center" vertical="center"/>
    </xf>
    <xf numFmtId="0" fontId="44" fillId="0" borderId="6" xfId="0" applyFont="1" applyBorder="1" applyAlignment="1">
      <alignment horizontal="center" vertical="center"/>
    </xf>
    <xf numFmtId="0" fontId="44" fillId="0" borderId="1" xfId="0" applyFont="1" applyBorder="1" applyAlignment="1">
      <alignment horizontal="left" vertical="center"/>
    </xf>
    <xf numFmtId="0" fontId="44" fillId="0" borderId="1" xfId="0" applyFont="1" applyBorder="1" applyAlignment="1">
      <alignment vertical="top" wrapText="1"/>
    </xf>
    <xf numFmtId="0" fontId="44" fillId="16" borderId="1" xfId="0" applyFont="1" applyFill="1" applyBorder="1" applyAlignment="1">
      <alignment horizontal="center" vertical="center"/>
    </xf>
    <xf numFmtId="4" fontId="45" fillId="8" borderId="1" xfId="4" applyNumberFormat="1" applyFont="1" applyFill="1" applyBorder="1" applyAlignment="1">
      <alignment horizontal="center" vertical="center"/>
    </xf>
    <xf numFmtId="0" fontId="45" fillId="0" borderId="0" xfId="0" applyFont="1"/>
    <xf numFmtId="0" fontId="49" fillId="0" borderId="1" xfId="0" applyFont="1" applyBorder="1" applyAlignment="1">
      <alignment horizontal="right" vertical="top" wrapText="1"/>
    </xf>
    <xf numFmtId="4" fontId="49" fillId="0" borderId="1" xfId="0" applyNumberFormat="1" applyFont="1" applyBorder="1" applyAlignment="1">
      <alignment horizontal="right" vertical="top" wrapText="1"/>
    </xf>
    <xf numFmtId="0" fontId="43" fillId="5" borderId="1" xfId="0" applyFont="1" applyFill="1" applyBorder="1"/>
    <xf numFmtId="0" fontId="47" fillId="0" borderId="0" xfId="0" applyFont="1" applyAlignment="1">
      <alignment horizontal="left" vertical="center"/>
    </xf>
    <xf numFmtId="0" fontId="43" fillId="16" borderId="1" xfId="0" applyFont="1" applyFill="1" applyBorder="1" applyAlignment="1">
      <alignment horizontal="left" vertical="center"/>
    </xf>
    <xf numFmtId="4" fontId="47" fillId="16" borderId="2" xfId="0" applyNumberFormat="1" applyFont="1" applyFill="1" applyBorder="1"/>
    <xf numFmtId="0" fontId="43" fillId="0" borderId="2" xfId="0" applyFont="1" applyBorder="1" applyAlignment="1">
      <alignment horizontal="left" vertical="center"/>
    </xf>
    <xf numFmtId="0" fontId="44" fillId="16" borderId="5" xfId="0" applyFont="1" applyFill="1" applyBorder="1" applyAlignment="1">
      <alignment horizontal="center" vertical="center"/>
    </xf>
    <xf numFmtId="0" fontId="44" fillId="0" borderId="6" xfId="0" applyFont="1" applyBorder="1" applyAlignment="1">
      <alignment horizontal="center" vertical="center" wrapText="1"/>
    </xf>
    <xf numFmtId="0" fontId="44" fillId="5" borderId="1" xfId="0" applyFont="1" applyFill="1" applyBorder="1" applyAlignment="1">
      <alignment horizontal="left" vertical="center"/>
    </xf>
    <xf numFmtId="4" fontId="44" fillId="5" borderId="1" xfId="0" applyNumberFormat="1" applyFont="1" applyFill="1" applyBorder="1" applyAlignment="1">
      <alignment vertical="top" wrapText="1"/>
    </xf>
    <xf numFmtId="4" fontId="44" fillId="5" borderId="1" xfId="4" applyNumberFormat="1" applyFont="1" applyFill="1" applyBorder="1" applyAlignment="1">
      <alignment horizontal="center" vertical="center" wrapText="1"/>
    </xf>
    <xf numFmtId="4" fontId="43" fillId="0" borderId="1" xfId="4" applyNumberFormat="1" applyFont="1" applyBorder="1" applyAlignment="1">
      <alignment horizontal="center" vertical="center" wrapText="1"/>
    </xf>
    <xf numFmtId="4" fontId="43" fillId="5" borderId="1" xfId="4" applyNumberFormat="1" applyFont="1" applyFill="1" applyBorder="1" applyAlignment="1">
      <alignment horizontal="center" vertical="center" wrapText="1"/>
    </xf>
    <xf numFmtId="0" fontId="44" fillId="5" borderId="6" xfId="0" applyFont="1" applyFill="1" applyBorder="1" applyAlignment="1">
      <alignment horizontal="center" vertical="center"/>
    </xf>
    <xf numFmtId="0" fontId="43" fillId="5" borderId="1" xfId="0" applyFont="1" applyFill="1" applyBorder="1" applyAlignment="1">
      <alignment horizontal="left" vertical="center" wrapText="1"/>
    </xf>
    <xf numFmtId="0" fontId="47" fillId="0" borderId="1" xfId="0" applyFont="1" applyBorder="1" applyAlignment="1">
      <alignment horizontal="left" vertical="top" wrapText="1"/>
    </xf>
    <xf numFmtId="0" fontId="44" fillId="0" borderId="2" xfId="0" applyFont="1" applyBorder="1" applyAlignment="1">
      <alignment horizontal="left" vertical="center"/>
    </xf>
    <xf numFmtId="4" fontId="45" fillId="8" borderId="1" xfId="4" applyNumberFormat="1" applyFont="1" applyFill="1" applyBorder="1" applyAlignment="1">
      <alignment horizontal="center" vertical="center" wrapText="1"/>
    </xf>
    <xf numFmtId="4" fontId="44" fillId="0" borderId="1" xfId="4" applyNumberFormat="1" applyFont="1" applyBorder="1" applyAlignment="1">
      <alignment horizontal="center" vertical="center"/>
    </xf>
    <xf numFmtId="4" fontId="44" fillId="5" borderId="1" xfId="4" applyNumberFormat="1" applyFont="1" applyFill="1" applyBorder="1" applyAlignment="1">
      <alignment horizontal="center" vertical="center"/>
    </xf>
    <xf numFmtId="0" fontId="44" fillId="5" borderId="6" xfId="0" applyFont="1" applyFill="1" applyBorder="1" applyAlignment="1">
      <alignment horizontal="center" vertical="center" wrapText="1"/>
    </xf>
    <xf numFmtId="0" fontId="49" fillId="5" borderId="1" xfId="0" applyFont="1" applyFill="1" applyBorder="1" applyAlignment="1">
      <alignment horizontal="right" vertical="top" wrapText="1"/>
    </xf>
    <xf numFmtId="0" fontId="43" fillId="0" borderId="2" xfId="0" applyFont="1" applyBorder="1" applyAlignment="1">
      <alignment horizontal="left" vertical="center" wrapText="1"/>
    </xf>
    <xf numFmtId="0" fontId="44" fillId="5" borderId="1" xfId="0" applyFont="1" applyFill="1" applyBorder="1"/>
    <xf numFmtId="0" fontId="44" fillId="0" borderId="1" xfId="0" applyFont="1" applyBorder="1" applyAlignment="1">
      <alignment horizontal="left" vertical="center" wrapText="1"/>
    </xf>
    <xf numFmtId="0" fontId="44" fillId="5" borderId="1" xfId="0" applyFont="1" applyFill="1" applyBorder="1" applyAlignment="1">
      <alignment horizontal="left" vertical="center" wrapText="1"/>
    </xf>
    <xf numFmtId="0" fontId="44" fillId="5" borderId="0" xfId="0" applyFont="1" applyFill="1"/>
    <xf numFmtId="0" fontId="48" fillId="5" borderId="1" xfId="0" applyFont="1" applyFill="1" applyBorder="1"/>
    <xf numFmtId="0" fontId="48" fillId="5" borderId="6" xfId="0" applyFont="1" applyFill="1" applyBorder="1" applyAlignment="1">
      <alignment horizontal="center" vertical="center" wrapText="1"/>
    </xf>
    <xf numFmtId="0" fontId="48" fillId="5" borderId="0" xfId="0" applyFont="1" applyFill="1"/>
    <xf numFmtId="0" fontId="48" fillId="5" borderId="1" xfId="0" applyFont="1" applyFill="1" applyBorder="1" applyAlignment="1">
      <alignment horizontal="left" vertical="center" wrapText="1"/>
    </xf>
    <xf numFmtId="0" fontId="44" fillId="5" borderId="1" xfId="0" applyFont="1" applyFill="1" applyBorder="1" applyAlignment="1">
      <alignment vertical="top" wrapText="1"/>
    </xf>
    <xf numFmtId="4" fontId="44" fillId="15" borderId="1" xfId="4" applyNumberFormat="1" applyFont="1" applyFill="1" applyBorder="1" applyAlignment="1">
      <alignment horizontal="center" vertical="center"/>
    </xf>
    <xf numFmtId="4" fontId="44" fillId="0" borderId="1" xfId="4" applyNumberFormat="1" applyFont="1" applyFill="1" applyBorder="1" applyAlignment="1">
      <alignment horizontal="center" vertical="center"/>
    </xf>
    <xf numFmtId="4" fontId="44" fillId="0" borderId="2" xfId="4" applyNumberFormat="1" applyFont="1" applyFill="1" applyBorder="1" applyAlignment="1">
      <alignment horizontal="center" vertical="center"/>
    </xf>
    <xf numFmtId="0" fontId="43" fillId="16" borderId="5" xfId="0" applyFont="1" applyFill="1" applyBorder="1" applyAlignment="1">
      <alignment horizontal="left" vertical="center" wrapText="1"/>
    </xf>
    <xf numFmtId="4" fontId="44" fillId="5" borderId="2" xfId="4" applyNumberFormat="1" applyFont="1" applyFill="1" applyBorder="1" applyAlignment="1">
      <alignment horizontal="center" vertical="center"/>
    </xf>
    <xf numFmtId="0" fontId="46" fillId="16" borderId="1" xfId="0" applyFont="1" applyFill="1" applyBorder="1" applyAlignment="1">
      <alignment horizontal="center" wrapText="1"/>
    </xf>
    <xf numFmtId="0" fontId="46" fillId="16" borderId="5" xfId="0" applyFont="1" applyFill="1" applyBorder="1" applyAlignment="1">
      <alignment horizontal="center" wrapText="1"/>
    </xf>
    <xf numFmtId="0" fontId="47" fillId="5" borderId="1" xfId="0" applyFont="1" applyFill="1" applyBorder="1" applyAlignment="1">
      <alignment horizontal="left" vertical="top" wrapText="1"/>
    </xf>
    <xf numFmtId="4" fontId="47" fillId="5" borderId="1" xfId="1" applyNumberFormat="1" applyFont="1" applyFill="1" applyBorder="1">
      <alignment horizontal="right" vertical="top"/>
    </xf>
    <xf numFmtId="0" fontId="46" fillId="0" borderId="1" xfId="0" applyFont="1" applyBorder="1"/>
    <xf numFmtId="0" fontId="46" fillId="0" borderId="6" xfId="0" applyFont="1" applyBorder="1" applyAlignment="1">
      <alignment horizontal="center" vertical="center" wrapText="1"/>
    </xf>
    <xf numFmtId="0" fontId="46" fillId="0" borderId="2" xfId="0" applyFont="1" applyBorder="1" applyAlignment="1">
      <alignment horizontal="left" vertical="center" wrapText="1"/>
    </xf>
    <xf numFmtId="0" fontId="46" fillId="0" borderId="0" xfId="0" applyFont="1"/>
    <xf numFmtId="0" fontId="44" fillId="0" borderId="1" xfId="0" applyFont="1" applyBorder="1" applyAlignment="1">
      <alignment horizontal="left" vertical="top" wrapText="1"/>
    </xf>
    <xf numFmtId="0" fontId="51" fillId="0" borderId="1" xfId="0" applyFont="1" applyBorder="1"/>
    <xf numFmtId="0" fontId="51" fillId="0" borderId="6" xfId="0" applyFont="1" applyBorder="1" applyAlignment="1">
      <alignment horizontal="center" vertical="center" wrapText="1"/>
    </xf>
    <xf numFmtId="0" fontId="51" fillId="0" borderId="1" xfId="0" applyFont="1" applyBorder="1" applyAlignment="1">
      <alignment horizontal="left" vertical="center" wrapText="1"/>
    </xf>
    <xf numFmtId="4" fontId="49" fillId="5" borderId="1" xfId="1" applyNumberFormat="1" applyFont="1" applyFill="1" applyBorder="1">
      <alignment horizontal="right" vertical="top"/>
    </xf>
    <xf numFmtId="0" fontId="51" fillId="0" borderId="0" xfId="0" applyFont="1"/>
    <xf numFmtId="0" fontId="46" fillId="5" borderId="1" xfId="0" applyFont="1" applyFill="1" applyBorder="1"/>
    <xf numFmtId="0" fontId="46" fillId="5" borderId="6" xfId="0" applyFont="1" applyFill="1" applyBorder="1" applyAlignment="1">
      <alignment horizontal="center" vertical="center" wrapText="1"/>
    </xf>
    <xf numFmtId="0" fontId="46" fillId="0" borderId="1" xfId="0" applyFont="1" applyBorder="1" applyAlignment="1">
      <alignment horizontal="left" vertical="center" wrapText="1"/>
    </xf>
    <xf numFmtId="0" fontId="46" fillId="5" borderId="0" xfId="0" applyFont="1" applyFill="1"/>
    <xf numFmtId="4" fontId="49" fillId="5" borderId="1" xfId="4" applyNumberFormat="1" applyFont="1" applyFill="1" applyBorder="1" applyAlignment="1">
      <alignment horizontal="center" vertical="center"/>
    </xf>
    <xf numFmtId="4" fontId="47" fillId="5" borderId="1" xfId="0" applyNumberFormat="1" applyFont="1" applyFill="1" applyBorder="1" applyAlignment="1">
      <alignment horizontal="right" vertical="center" wrapText="1"/>
    </xf>
    <xf numFmtId="0" fontId="44" fillId="5" borderId="1" xfId="0" applyFont="1" applyFill="1" applyBorder="1" applyAlignment="1">
      <alignment horizontal="center" vertical="center" wrapText="1"/>
    </xf>
    <xf numFmtId="4" fontId="44" fillId="0" borderId="2" xfId="0" applyNumberFormat="1" applyFont="1" applyBorder="1"/>
    <xf numFmtId="4" fontId="47" fillId="0" borderId="1" xfId="0" applyNumberFormat="1" applyFont="1" applyBorder="1" applyAlignment="1">
      <alignment horizontal="right" vertical="center" wrapText="1"/>
    </xf>
    <xf numFmtId="4" fontId="49" fillId="5" borderId="1" xfId="0" applyNumberFormat="1" applyFont="1" applyFill="1" applyBorder="1" applyAlignment="1">
      <alignment horizontal="right" vertical="center"/>
    </xf>
    <xf numFmtId="4" fontId="46" fillId="0" borderId="1" xfId="4" applyNumberFormat="1" applyFont="1" applyFill="1" applyBorder="1" applyAlignment="1">
      <alignment horizontal="center" vertical="center"/>
    </xf>
    <xf numFmtId="4" fontId="49" fillId="0" borderId="1" xfId="0" applyNumberFormat="1" applyFont="1" applyBorder="1" applyAlignment="1">
      <alignment horizontal="right" vertical="center"/>
    </xf>
    <xf numFmtId="0" fontId="44" fillId="5" borderId="1" xfId="0" applyFont="1" applyFill="1" applyBorder="1" applyAlignment="1">
      <alignment horizontal="center" wrapText="1"/>
    </xf>
    <xf numFmtId="4" fontId="44" fillId="5" borderId="1" xfId="0" applyNumberFormat="1" applyFont="1" applyFill="1" applyBorder="1"/>
    <xf numFmtId="0" fontId="43" fillId="0" borderId="1" xfId="0" applyFont="1" applyFill="1" applyBorder="1" applyAlignment="1">
      <alignment vertical="top" wrapText="1"/>
    </xf>
    <xf numFmtId="4" fontId="44" fillId="0" borderId="1" xfId="0" applyNumberFormat="1" applyFont="1" applyFill="1" applyBorder="1"/>
    <xf numFmtId="0" fontId="47" fillId="0" borderId="6"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4" fillId="0" borderId="1" xfId="0" applyFont="1" applyFill="1" applyBorder="1" applyAlignment="1">
      <alignment vertical="top" wrapText="1"/>
    </xf>
    <xf numFmtId="0" fontId="47" fillId="0" borderId="6" xfId="0"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2" xfId="0" applyFont="1" applyFill="1" applyBorder="1" applyAlignment="1">
      <alignment horizontal="left" vertical="center" wrapText="1"/>
    </xf>
    <xf numFmtId="49" fontId="43" fillId="0" borderId="19" xfId="0" applyNumberFormat="1" applyFont="1" applyFill="1" applyBorder="1" applyAlignment="1">
      <alignment vertical="top" wrapText="1"/>
    </xf>
    <xf numFmtId="0" fontId="47" fillId="0" borderId="1" xfId="0" applyFont="1" applyFill="1" applyBorder="1"/>
    <xf numFmtId="0" fontId="44" fillId="0" borderId="6" xfId="0" applyFont="1" applyFill="1" applyBorder="1" applyAlignment="1">
      <alignment horizontal="center" vertical="top" wrapText="1"/>
    </xf>
    <xf numFmtId="0" fontId="44" fillId="0" borderId="6" xfId="0" applyFont="1" applyFill="1" applyBorder="1" applyAlignment="1">
      <alignment horizontal="left" vertical="top" wrapText="1"/>
    </xf>
    <xf numFmtId="4" fontId="44" fillId="0" borderId="1" xfId="0" applyNumberFormat="1" applyFont="1" applyFill="1" applyBorder="1" applyAlignment="1">
      <alignment wrapText="1"/>
    </xf>
    <xf numFmtId="0" fontId="47" fillId="0" borderId="0" xfId="0" applyFont="1" applyFill="1"/>
    <xf numFmtId="0" fontId="47" fillId="0" borderId="2" xfId="0" applyFont="1" applyFill="1" applyBorder="1" applyAlignment="1">
      <alignment horizontal="left" vertical="center"/>
    </xf>
    <xf numFmtId="0" fontId="46" fillId="0" borderId="1" xfId="0" applyFont="1" applyFill="1" applyBorder="1" applyAlignment="1">
      <alignment horizontal="left" vertical="top" wrapText="1"/>
    </xf>
    <xf numFmtId="0" fontId="44" fillId="0" borderId="1" xfId="0" applyFont="1" applyFill="1" applyBorder="1" applyAlignment="1">
      <alignment horizontal="left" vertical="top" wrapText="1"/>
    </xf>
    <xf numFmtId="0" fontId="45" fillId="4" borderId="5" xfId="0" applyFont="1" applyFill="1" applyBorder="1" applyAlignment="1" applyProtection="1">
      <alignment horizontal="left" vertical="center"/>
      <protection locked="0"/>
    </xf>
    <xf numFmtId="0" fontId="43" fillId="5" borderId="2" xfId="0" applyFont="1" applyFill="1" applyBorder="1" applyAlignment="1">
      <alignment horizontal="left" vertical="center" wrapText="1"/>
    </xf>
    <xf numFmtId="0" fontId="43" fillId="0" borderId="1" xfId="0" applyFont="1" applyBorder="1" applyAlignment="1">
      <alignment horizontal="left" vertical="center" wrapText="1"/>
    </xf>
    <xf numFmtId="172" fontId="43" fillId="0" borderId="0" xfId="4" applyNumberFormat="1" applyFont="1" applyAlignment="1">
      <alignment horizontal="center" vertical="center"/>
    </xf>
    <xf numFmtId="172" fontId="44" fillId="0" borderId="0" xfId="4" applyNumberFormat="1" applyFont="1" applyAlignment="1">
      <alignment horizontal="center" vertical="center"/>
    </xf>
    <xf numFmtId="172" fontId="43" fillId="2" borderId="1" xfId="4" applyNumberFormat="1" applyFont="1" applyFill="1" applyBorder="1" applyAlignment="1">
      <alignment horizontal="center" vertical="center" wrapText="1"/>
    </xf>
    <xf numFmtId="172" fontId="43" fillId="14" borderId="1" xfId="4" applyNumberFormat="1" applyFont="1" applyFill="1" applyBorder="1" applyAlignment="1">
      <alignment horizontal="center" vertical="center" wrapText="1"/>
    </xf>
    <xf numFmtId="172" fontId="45" fillId="3" borderId="1" xfId="4" applyNumberFormat="1" applyFont="1" applyFill="1" applyBorder="1" applyAlignment="1">
      <alignment horizontal="center" vertical="center"/>
    </xf>
    <xf numFmtId="172" fontId="43" fillId="0" borderId="1" xfId="4" applyNumberFormat="1" applyFont="1" applyBorder="1" applyAlignment="1">
      <alignment horizontal="center" vertical="center"/>
    </xf>
    <xf numFmtId="172" fontId="47" fillId="0" borderId="1" xfId="4" applyNumberFormat="1" applyFont="1" applyBorder="1" applyAlignment="1">
      <alignment horizontal="center" vertical="center"/>
    </xf>
    <xf numFmtId="172" fontId="43" fillId="5" borderId="1" xfId="4" applyNumberFormat="1" applyFont="1" applyFill="1" applyBorder="1" applyAlignment="1">
      <alignment horizontal="center" vertical="center"/>
    </xf>
    <xf numFmtId="172" fontId="47" fillId="5" borderId="1" xfId="4" applyNumberFormat="1" applyFont="1" applyFill="1" applyBorder="1" applyAlignment="1">
      <alignment horizontal="center" vertical="center"/>
    </xf>
    <xf numFmtId="172" fontId="43" fillId="0" borderId="1" xfId="4" applyNumberFormat="1" applyFont="1" applyFill="1" applyBorder="1" applyAlignment="1">
      <alignment horizontal="center" vertical="center"/>
    </xf>
    <xf numFmtId="172" fontId="47" fillId="5" borderId="2" xfId="4" applyNumberFormat="1" applyFont="1" applyFill="1" applyBorder="1" applyAlignment="1">
      <alignment horizontal="center" vertical="center"/>
    </xf>
    <xf numFmtId="172" fontId="47" fillId="0" borderId="1" xfId="4" applyNumberFormat="1" applyFont="1" applyFill="1" applyBorder="1" applyAlignment="1">
      <alignment horizontal="center" vertical="center"/>
    </xf>
    <xf numFmtId="172" fontId="47" fillId="0" borderId="2" xfId="4" applyNumberFormat="1" applyFont="1" applyFill="1" applyBorder="1" applyAlignment="1">
      <alignment horizontal="center" vertical="center"/>
    </xf>
    <xf numFmtId="172" fontId="49" fillId="0" borderId="1" xfId="0" applyNumberFormat="1" applyFont="1" applyBorder="1" applyAlignment="1">
      <alignment horizontal="center" vertical="top" wrapText="1"/>
    </xf>
    <xf numFmtId="172" fontId="49" fillId="5" borderId="1" xfId="0" applyNumberFormat="1" applyFont="1" applyFill="1" applyBorder="1" applyAlignment="1">
      <alignment horizontal="center" vertical="top" wrapText="1"/>
    </xf>
    <xf numFmtId="172" fontId="47" fillId="5" borderId="1" xfId="0" applyNumberFormat="1" applyFont="1" applyFill="1" applyBorder="1" applyAlignment="1">
      <alignment horizontal="center" vertical="center" wrapText="1"/>
    </xf>
    <xf numFmtId="172" fontId="43" fillId="5" borderId="1" xfId="4" applyNumberFormat="1" applyFont="1" applyFill="1" applyBorder="1" applyAlignment="1">
      <alignment horizontal="center" vertical="center" wrapText="1"/>
    </xf>
    <xf numFmtId="172" fontId="43" fillId="0" borderId="1" xfId="4" applyNumberFormat="1" applyFont="1" applyBorder="1" applyAlignment="1">
      <alignment horizontal="center" vertical="center" wrapText="1"/>
    </xf>
    <xf numFmtId="172" fontId="43" fillId="5" borderId="2" xfId="4" applyNumberFormat="1" applyFont="1" applyFill="1" applyBorder="1" applyAlignment="1">
      <alignment horizontal="center" vertical="center"/>
    </xf>
    <xf numFmtId="172" fontId="44" fillId="0" borderId="1" xfId="0" applyNumberFormat="1" applyFont="1" applyFill="1" applyBorder="1" applyAlignment="1">
      <alignment horizontal="center" wrapText="1"/>
    </xf>
    <xf numFmtId="172" fontId="44" fillId="0" borderId="1" xfId="4" applyNumberFormat="1" applyFont="1" applyBorder="1" applyAlignment="1">
      <alignment horizontal="center" vertical="center"/>
    </xf>
    <xf numFmtId="172" fontId="44" fillId="5" borderId="1" xfId="4" applyNumberFormat="1" applyFont="1" applyFill="1" applyBorder="1" applyAlignment="1">
      <alignment horizontal="center" vertical="center"/>
    </xf>
    <xf numFmtId="172" fontId="43" fillId="0" borderId="1" xfId="4" applyNumberFormat="1" applyFont="1" applyFill="1" applyBorder="1" applyAlignment="1">
      <alignment horizontal="center" vertical="center" wrapText="1"/>
    </xf>
    <xf numFmtId="172" fontId="48" fillId="0" borderId="1" xfId="0" applyNumberFormat="1" applyFont="1" applyBorder="1" applyAlignment="1">
      <alignment horizontal="center" vertical="top" wrapText="1"/>
    </xf>
    <xf numFmtId="172" fontId="47" fillId="0" borderId="1" xfId="0" applyNumberFormat="1" applyFont="1" applyBorder="1" applyAlignment="1">
      <alignment horizontal="center" vertical="top" wrapText="1"/>
    </xf>
    <xf numFmtId="172" fontId="46" fillId="0" borderId="1" xfId="79" applyNumberFormat="1" applyFont="1" applyBorder="1" applyAlignment="1">
      <alignment horizontal="center" wrapText="1"/>
    </xf>
    <xf numFmtId="172" fontId="47" fillId="0" borderId="1" xfId="80" applyNumberFormat="1" applyFont="1" applyBorder="1" applyAlignment="1">
      <alignment horizontal="center" vertical="center" wrapText="1"/>
    </xf>
    <xf numFmtId="172" fontId="50" fillId="0" borderId="1" xfId="81" applyNumberFormat="1" applyFont="1" applyBorder="1" applyAlignment="1">
      <alignment horizontal="center" vertical="center" wrapText="1"/>
    </xf>
    <xf numFmtId="172" fontId="5" fillId="0" borderId="1" xfId="4" applyNumberFormat="1" applyFont="1" applyBorder="1" applyAlignment="1">
      <alignment horizontal="center" vertical="center" wrapText="1"/>
    </xf>
    <xf numFmtId="172" fontId="44" fillId="5" borderId="1" xfId="4" applyNumberFormat="1" applyFont="1" applyFill="1" applyBorder="1" applyAlignment="1">
      <alignment horizontal="center" vertical="center" wrapText="1"/>
    </xf>
    <xf numFmtId="172" fontId="44" fillId="0" borderId="1" xfId="4" applyNumberFormat="1" applyFont="1" applyFill="1" applyBorder="1" applyAlignment="1">
      <alignment horizontal="center" vertical="center"/>
    </xf>
    <xf numFmtId="172" fontId="44" fillId="0" borderId="2" xfId="4" applyNumberFormat="1" applyFont="1" applyFill="1" applyBorder="1" applyAlignment="1">
      <alignment horizontal="center" vertical="center"/>
    </xf>
    <xf numFmtId="172" fontId="46" fillId="0" borderId="1" xfId="4" applyNumberFormat="1" applyFont="1" applyFill="1" applyBorder="1" applyAlignment="1">
      <alignment horizontal="center" vertical="center"/>
    </xf>
    <xf numFmtId="172" fontId="44" fillId="5" borderId="2" xfId="4" applyNumberFormat="1" applyFont="1" applyFill="1" applyBorder="1" applyAlignment="1">
      <alignment horizontal="center" vertical="center"/>
    </xf>
    <xf numFmtId="172" fontId="44" fillId="0" borderId="1" xfId="0" applyNumberFormat="1" applyFont="1" applyFill="1" applyBorder="1" applyAlignment="1">
      <alignment horizontal="center"/>
    </xf>
    <xf numFmtId="172" fontId="47" fillId="0" borderId="1" xfId="0" applyNumberFormat="1" applyFont="1" applyFill="1" applyBorder="1" applyAlignment="1">
      <alignment horizontal="center"/>
    </xf>
    <xf numFmtId="172" fontId="47" fillId="5" borderId="1" xfId="1" applyNumberFormat="1" applyFont="1" applyFill="1" applyBorder="1" applyAlignment="1">
      <alignment horizontal="center" vertical="top"/>
    </xf>
    <xf numFmtId="172" fontId="49" fillId="5" borderId="1" xfId="1" applyNumberFormat="1" applyFont="1" applyFill="1" applyBorder="1" applyAlignment="1">
      <alignment horizontal="center" vertical="top"/>
    </xf>
    <xf numFmtId="172" fontId="47" fillId="5" borderId="1" xfId="0" applyNumberFormat="1" applyFont="1" applyFill="1" applyBorder="1" applyAlignment="1">
      <alignment horizontal="center" vertical="center"/>
    </xf>
    <xf numFmtId="172" fontId="49" fillId="5" borderId="1" xfId="4" applyNumberFormat="1" applyFont="1" applyFill="1" applyBorder="1" applyAlignment="1">
      <alignment horizontal="center" vertical="center"/>
    </xf>
    <xf numFmtId="172" fontId="44" fillId="0" borderId="2" xfId="0" applyNumberFormat="1" applyFont="1" applyBorder="1" applyAlignment="1">
      <alignment horizontal="center"/>
    </xf>
    <xf numFmtId="172" fontId="44" fillId="0" borderId="1" xfId="0" applyNumberFormat="1" applyFont="1" applyBorder="1" applyAlignment="1">
      <alignment horizontal="center"/>
    </xf>
    <xf numFmtId="172" fontId="49" fillId="0" borderId="1" xfId="0" applyNumberFormat="1" applyFont="1" applyBorder="1" applyAlignment="1">
      <alignment horizontal="center" vertical="center"/>
    </xf>
    <xf numFmtId="172" fontId="47" fillId="0" borderId="1" xfId="0" applyNumberFormat="1" applyFont="1" applyBorder="1" applyAlignment="1">
      <alignment horizontal="center" vertical="center"/>
    </xf>
    <xf numFmtId="172" fontId="44" fillId="5" borderId="1" xfId="0" applyNumberFormat="1" applyFont="1" applyFill="1" applyBorder="1" applyAlignment="1">
      <alignment horizontal="center"/>
    </xf>
    <xf numFmtId="0" fontId="44" fillId="5" borderId="1" xfId="0" applyFont="1" applyFill="1" applyBorder="1" applyAlignment="1">
      <alignment horizontal="center" vertical="center"/>
    </xf>
    <xf numFmtId="0" fontId="47" fillId="5" borderId="6" xfId="0" applyFont="1" applyFill="1" applyBorder="1" applyAlignment="1">
      <alignment horizontal="center" vertical="center"/>
    </xf>
    <xf numFmtId="0" fontId="44" fillId="5" borderId="1" xfId="0" applyFont="1" applyFill="1" applyBorder="1" applyAlignment="1">
      <alignment wrapText="1"/>
    </xf>
    <xf numFmtId="4" fontId="43" fillId="3" borderId="1" xfId="4" applyNumberFormat="1" applyFont="1" applyFill="1" applyBorder="1" applyAlignment="1">
      <alignment horizontal="center" vertical="center"/>
    </xf>
    <xf numFmtId="0" fontId="43" fillId="15" borderId="1" xfId="0" applyFont="1" applyFill="1" applyBorder="1" applyAlignment="1">
      <alignment horizontal="center" vertical="center"/>
    </xf>
    <xf numFmtId="0" fontId="45" fillId="5" borderId="0" xfId="0" applyFont="1" applyFill="1"/>
    <xf numFmtId="0" fontId="45" fillId="4" borderId="6" xfId="0" applyFont="1" applyFill="1" applyBorder="1" applyAlignment="1" applyProtection="1">
      <alignment horizontal="center" vertical="center"/>
      <protection locked="0"/>
    </xf>
    <xf numFmtId="4" fontId="49" fillId="5" borderId="1" xfId="0" applyNumberFormat="1" applyFont="1" applyFill="1" applyBorder="1" applyAlignment="1">
      <alignment horizontal="right" vertical="top" wrapText="1"/>
    </xf>
    <xf numFmtId="0" fontId="47" fillId="5" borderId="1" xfId="0" applyFont="1" applyFill="1" applyBorder="1" applyAlignment="1">
      <alignment horizontal="left" vertical="center"/>
    </xf>
    <xf numFmtId="0" fontId="47" fillId="5" borderId="6" xfId="0" applyFont="1" applyFill="1" applyBorder="1" applyAlignment="1">
      <alignment horizontal="left" vertical="center"/>
    </xf>
    <xf numFmtId="4" fontId="47" fillId="5" borderId="2" xfId="0" applyNumberFormat="1" applyFont="1" applyFill="1" applyBorder="1"/>
    <xf numFmtId="172" fontId="47" fillId="5" borderId="2" xfId="0" applyNumberFormat="1" applyFont="1" applyFill="1" applyBorder="1" applyAlignment="1">
      <alignment horizontal="center"/>
    </xf>
    <xf numFmtId="0" fontId="47" fillId="5" borderId="6" xfId="0" applyFont="1" applyFill="1" applyBorder="1" applyAlignment="1">
      <alignment wrapText="1"/>
    </xf>
    <xf numFmtId="4" fontId="47" fillId="5" borderId="1" xfId="0" applyNumberFormat="1" applyFont="1" applyFill="1" applyBorder="1"/>
    <xf numFmtId="172" fontId="47" fillId="5" borderId="1" xfId="0" applyNumberFormat="1" applyFont="1" applyFill="1" applyBorder="1" applyAlignment="1">
      <alignment horizontal="center"/>
    </xf>
    <xf numFmtId="172" fontId="47" fillId="5" borderId="1" xfId="69" applyNumberFormat="1" applyFont="1" applyFill="1" applyBorder="1" applyAlignment="1">
      <alignment horizontal="center" vertical="center" wrapText="1"/>
    </xf>
    <xf numFmtId="0" fontId="45" fillId="5" borderId="6" xfId="0" applyFont="1" applyFill="1" applyBorder="1" applyAlignment="1">
      <alignment horizontal="center" vertical="center" wrapText="1"/>
    </xf>
    <xf numFmtId="0" fontId="45" fillId="3" borderId="6" xfId="0" applyFont="1" applyFill="1" applyBorder="1" applyAlignment="1">
      <alignment horizontal="center" vertical="center" wrapText="1"/>
    </xf>
    <xf numFmtId="0" fontId="45" fillId="3" borderId="1" xfId="0" applyFont="1" applyFill="1" applyBorder="1" applyAlignment="1">
      <alignment horizontal="left" vertical="center"/>
    </xf>
    <xf numFmtId="0" fontId="43" fillId="5" borderId="1" xfId="0" applyFont="1" applyFill="1" applyBorder="1" applyAlignment="1">
      <alignment horizontal="left" vertical="top" wrapText="1"/>
    </xf>
    <xf numFmtId="4" fontId="47" fillId="5" borderId="1" xfId="4" applyNumberFormat="1" applyFont="1" applyFill="1" applyBorder="1" applyAlignment="1">
      <alignment horizontal="center" vertical="center" wrapText="1"/>
    </xf>
    <xf numFmtId="172" fontId="47" fillId="5" borderId="1" xfId="4" applyNumberFormat="1" applyFont="1" applyFill="1" applyBorder="1" applyAlignment="1">
      <alignment horizontal="center" vertical="center" wrapText="1"/>
    </xf>
    <xf numFmtId="0" fontId="45" fillId="3" borderId="1" xfId="0" applyFont="1" applyFill="1" applyBorder="1" applyAlignment="1">
      <alignment horizontal="left" vertical="top"/>
    </xf>
    <xf numFmtId="4" fontId="45" fillId="3" borderId="1" xfId="4" applyNumberFormat="1" applyFont="1" applyFill="1" applyBorder="1" applyAlignment="1">
      <alignment horizontal="center" vertical="center" wrapText="1"/>
    </xf>
    <xf numFmtId="172" fontId="45" fillId="3" borderId="1" xfId="4" applyNumberFormat="1" applyFont="1" applyFill="1" applyBorder="1" applyAlignment="1">
      <alignment horizontal="center" vertical="center" wrapText="1"/>
    </xf>
    <xf numFmtId="172" fontId="48" fillId="5" borderId="1" xfId="4" applyNumberFormat="1" applyFont="1" applyFill="1" applyBorder="1" applyAlignment="1">
      <alignment horizontal="center" vertical="center"/>
    </xf>
    <xf numFmtId="0" fontId="52" fillId="5" borderId="1" xfId="0" applyFont="1" applyFill="1" applyBorder="1" applyAlignment="1">
      <alignment horizontal="right" vertical="top" wrapText="1"/>
    </xf>
    <xf numFmtId="0" fontId="53" fillId="5" borderId="1" xfId="0" applyFont="1" applyFill="1" applyBorder="1" applyAlignment="1">
      <alignment horizontal="left" vertical="center" wrapText="1"/>
    </xf>
    <xf numFmtId="172" fontId="53" fillId="5" borderId="1" xfId="4" applyNumberFormat="1" applyFont="1" applyFill="1" applyBorder="1" applyAlignment="1">
      <alignment horizontal="center" vertical="center"/>
    </xf>
    <xf numFmtId="4" fontId="43" fillId="5" borderId="1" xfId="0" applyNumberFormat="1" applyFont="1" applyFill="1" applyBorder="1" applyAlignment="1">
      <alignment vertical="top" wrapText="1"/>
    </xf>
    <xf numFmtId="0" fontId="43" fillId="15" borderId="1" xfId="0" applyFont="1" applyFill="1" applyBorder="1" applyAlignment="1">
      <alignment horizontal="left" vertical="center" wrapText="1"/>
    </xf>
    <xf numFmtId="0" fontId="43" fillId="15" borderId="1" xfId="0" applyFont="1" applyFill="1" applyBorder="1" applyAlignment="1">
      <alignment horizontal="center" vertical="center" wrapText="1"/>
    </xf>
    <xf numFmtId="0" fontId="44" fillId="15" borderId="2" xfId="0" applyFont="1" applyFill="1" applyBorder="1" applyAlignment="1">
      <alignment horizontal="center" vertical="center"/>
    </xf>
    <xf numFmtId="172" fontId="43" fillId="5" borderId="0" xfId="4" applyNumberFormat="1" applyFont="1" applyFill="1" applyAlignment="1">
      <alignment horizontal="center" vertical="center"/>
    </xf>
    <xf numFmtId="4" fontId="43" fillId="5" borderId="6" xfId="0" applyNumberFormat="1" applyFont="1" applyFill="1" applyBorder="1" applyAlignment="1">
      <alignment vertical="top" wrapText="1"/>
    </xf>
    <xf numFmtId="172" fontId="48" fillId="5" borderId="1" xfId="0" applyNumberFormat="1" applyFont="1" applyFill="1" applyBorder="1" applyAlignment="1">
      <alignment horizontal="center" vertical="top" wrapText="1"/>
    </xf>
    <xf numFmtId="0" fontId="45" fillId="3" borderId="1" xfId="0" applyFont="1" applyFill="1" applyBorder="1" applyAlignment="1">
      <alignment horizontal="center" vertical="center"/>
    </xf>
    <xf numFmtId="0" fontId="45" fillId="0" borderId="1" xfId="0" applyFont="1" applyBorder="1" applyAlignment="1">
      <alignment horizontal="center" vertical="center"/>
    </xf>
    <xf numFmtId="0" fontId="45" fillId="3" borderId="1" xfId="0" applyFont="1" applyFill="1" applyBorder="1" applyAlignment="1">
      <alignment horizontal="center" vertical="center" wrapText="1"/>
    </xf>
    <xf numFmtId="172" fontId="45" fillId="3" borderId="1" xfId="0" applyNumberFormat="1" applyFont="1" applyFill="1" applyBorder="1" applyAlignment="1">
      <alignment horizontal="center" vertical="center" wrapText="1"/>
    </xf>
    <xf numFmtId="0" fontId="45" fillId="3" borderId="2" xfId="0" applyFont="1" applyFill="1" applyBorder="1" applyAlignment="1" applyProtection="1">
      <alignment vertical="center"/>
      <protection locked="0"/>
    </xf>
    <xf numFmtId="0" fontId="45" fillId="4" borderId="6" xfId="0" applyFont="1" applyFill="1" applyBorder="1" applyAlignment="1" applyProtection="1">
      <alignment vertical="center"/>
      <protection locked="0"/>
    </xf>
    <xf numFmtId="0" fontId="45" fillId="3" borderId="1" xfId="0" applyFont="1" applyFill="1" applyBorder="1" applyAlignment="1">
      <alignment vertical="center"/>
    </xf>
    <xf numFmtId="0" fontId="45" fillId="3" borderId="1" xfId="0" applyFont="1" applyFill="1" applyBorder="1" applyAlignment="1">
      <alignment vertical="top"/>
    </xf>
    <xf numFmtId="0" fontId="45" fillId="5" borderId="1" xfId="0" applyFont="1" applyFill="1" applyBorder="1" applyAlignment="1">
      <alignment horizontal="center" vertical="center" wrapText="1"/>
    </xf>
    <xf numFmtId="4" fontId="45" fillId="3" borderId="1" xfId="0" applyNumberFormat="1" applyFont="1" applyFill="1" applyBorder="1" applyAlignment="1">
      <alignment horizontal="center" vertical="center" wrapText="1"/>
    </xf>
    <xf numFmtId="0" fontId="43" fillId="0" borderId="1" xfId="0" applyFont="1" applyFill="1" applyBorder="1"/>
    <xf numFmtId="0" fontId="43" fillId="0" borderId="6" xfId="0" applyFont="1" applyFill="1" applyBorder="1" applyAlignment="1">
      <alignment horizontal="center" vertical="center" wrapText="1"/>
    </xf>
    <xf numFmtId="4" fontId="43" fillId="0" borderId="2" xfId="4" applyNumberFormat="1" applyFont="1" applyFill="1" applyBorder="1" applyAlignment="1">
      <alignment horizontal="center" vertical="center"/>
    </xf>
    <xf numFmtId="0" fontId="43" fillId="0" borderId="0" xfId="0" applyFont="1" applyFill="1"/>
    <xf numFmtId="4" fontId="49" fillId="0" borderId="1" xfId="0" applyNumberFormat="1" applyFont="1" applyFill="1" applyBorder="1" applyAlignment="1">
      <alignment horizontal="center" vertical="center"/>
    </xf>
    <xf numFmtId="4" fontId="47" fillId="0" borderId="1" xfId="0" applyNumberFormat="1" applyFont="1" applyFill="1" applyBorder="1" applyAlignment="1">
      <alignment horizontal="center" vertical="center"/>
    </xf>
    <xf numFmtId="4" fontId="44" fillId="0" borderId="1" xfId="0" applyNumberFormat="1" applyFont="1" applyFill="1" applyBorder="1" applyAlignment="1">
      <alignment vertical="top" wrapText="1"/>
    </xf>
    <xf numFmtId="0" fontId="43" fillId="5" borderId="2" xfId="0" applyFont="1" applyFill="1" applyBorder="1" applyAlignment="1">
      <alignment horizontal="left" vertical="center" wrapText="1"/>
    </xf>
    <xf numFmtId="0" fontId="43" fillId="5" borderId="5" xfId="0" applyFont="1" applyFill="1" applyBorder="1" applyAlignment="1">
      <alignment horizontal="left" vertical="center" wrapText="1"/>
    </xf>
    <xf numFmtId="0" fontId="43" fillId="5" borderId="6" xfId="0" applyFont="1" applyFill="1" applyBorder="1" applyAlignment="1">
      <alignment horizontal="left" vertical="center" wrapText="1"/>
    </xf>
    <xf numFmtId="0" fontId="43" fillId="0" borderId="0" xfId="0" applyFont="1" applyAlignment="1">
      <alignment horizontal="center"/>
    </xf>
    <xf numFmtId="0" fontId="43" fillId="0" borderId="0" xfId="0" applyFont="1" applyAlignment="1">
      <alignment horizontal="center" wrapText="1"/>
    </xf>
    <xf numFmtId="0" fontId="43" fillId="2" borderId="1" xfId="0" applyFont="1" applyFill="1" applyBorder="1" applyAlignment="1">
      <alignment horizontal="center" vertical="center" wrapText="1"/>
    </xf>
    <xf numFmtId="0" fontId="43" fillId="2" borderId="1" xfId="0" applyFont="1" applyFill="1" applyBorder="1" applyAlignment="1">
      <alignment horizontal="left" vertical="center" wrapText="1"/>
    </xf>
    <xf numFmtId="0" fontId="43" fillId="2" borderId="1" xfId="0" applyFont="1" applyFill="1" applyBorder="1" applyAlignment="1">
      <alignment vertical="top" wrapText="1"/>
    </xf>
    <xf numFmtId="4" fontId="43" fillId="2" borderId="1" xfId="4" applyNumberFormat="1" applyFont="1" applyFill="1" applyBorder="1" applyAlignment="1">
      <alignment horizontal="center" vertical="center" wrapText="1"/>
    </xf>
    <xf numFmtId="172" fontId="43" fillId="2" borderId="1" xfId="4" applyNumberFormat="1" applyFont="1" applyFill="1" applyBorder="1" applyAlignment="1">
      <alignment horizontal="center" vertical="center"/>
    </xf>
    <xf numFmtId="172" fontId="43" fillId="2" borderId="1" xfId="4" applyNumberFormat="1" applyFont="1" applyFill="1" applyBorder="1" applyAlignment="1">
      <alignment horizontal="center" vertical="center" wrapText="1"/>
    </xf>
    <xf numFmtId="0" fontId="45" fillId="4" borderId="2" xfId="0" applyFont="1" applyFill="1" applyBorder="1" applyAlignment="1" applyProtection="1">
      <alignment vertical="center"/>
      <protection locked="0"/>
    </xf>
    <xf numFmtId="0" fontId="45" fillId="4" borderId="5" xfId="0" applyFont="1" applyFill="1" applyBorder="1" applyAlignment="1" applyProtection="1">
      <alignment horizontal="left" vertical="center"/>
      <protection locked="0"/>
    </xf>
    <xf numFmtId="0" fontId="45" fillId="4" borderId="6" xfId="0" applyFont="1" applyFill="1" applyBorder="1" applyAlignment="1" applyProtection="1">
      <alignment vertical="center"/>
      <protection locked="0"/>
    </xf>
    <xf numFmtId="0" fontId="45" fillId="3" borderId="2" xfId="0" applyFont="1" applyFill="1" applyBorder="1" applyAlignment="1">
      <alignment wrapText="1"/>
    </xf>
    <xf numFmtId="0" fontId="45" fillId="3" borderId="5" xfId="0" applyFont="1" applyFill="1" applyBorder="1" applyAlignment="1">
      <alignment horizontal="center" wrapText="1"/>
    </xf>
    <xf numFmtId="0" fontId="45" fillId="3" borderId="6" xfId="0" applyFont="1" applyFill="1" applyBorder="1" applyAlignment="1">
      <alignment wrapText="1"/>
    </xf>
    <xf numFmtId="0" fontId="45" fillId="8" borderId="5" xfId="0" applyFont="1" applyFill="1" applyBorder="1" applyAlignment="1">
      <alignment horizontal="left" wrapText="1"/>
    </xf>
    <xf numFmtId="0" fontId="45" fillId="3" borderId="2" xfId="0" applyFont="1" applyFill="1" applyBorder="1" applyAlignment="1">
      <alignment vertical="top" wrapText="1"/>
    </xf>
    <xf numFmtId="0" fontId="45" fillId="3" borderId="5" xfId="0" applyFont="1" applyFill="1" applyBorder="1" applyAlignment="1">
      <alignment horizontal="left" vertical="top" wrapText="1"/>
    </xf>
    <xf numFmtId="0" fontId="45" fillId="3" borderId="6" xfId="0" applyFont="1" applyFill="1" applyBorder="1" applyAlignment="1">
      <alignment vertical="top" wrapText="1"/>
    </xf>
    <xf numFmtId="0" fontId="45" fillId="4" borderId="1" xfId="0" applyFont="1" applyFill="1" applyBorder="1" applyAlignment="1" applyProtection="1">
      <alignment vertical="center"/>
      <protection locked="0"/>
    </xf>
    <xf numFmtId="0" fontId="43" fillId="4" borderId="1" xfId="0" applyFont="1" applyFill="1" applyBorder="1" applyAlignment="1" applyProtection="1">
      <alignment horizontal="left" vertical="center"/>
      <protection locked="0"/>
    </xf>
    <xf numFmtId="0" fontId="45" fillId="4" borderId="1" xfId="0" applyFont="1" applyFill="1" applyBorder="1" applyAlignment="1" applyProtection="1">
      <alignment vertical="center" wrapText="1"/>
      <protection locked="0"/>
    </xf>
    <xf numFmtId="0" fontId="45" fillId="4" borderId="1" xfId="0" applyFont="1" applyFill="1" applyBorder="1" applyAlignment="1" applyProtection="1">
      <alignment horizontal="center" vertical="center" wrapText="1"/>
      <protection locked="0"/>
    </xf>
    <xf numFmtId="0" fontId="45" fillId="3" borderId="2" xfId="0" applyFont="1" applyFill="1" applyBorder="1" applyAlignment="1">
      <alignment vertical="center" wrapText="1"/>
    </xf>
    <xf numFmtId="0" fontId="45" fillId="8" borderId="5" xfId="0" applyFont="1" applyFill="1" applyBorder="1" applyAlignment="1">
      <alignment horizontal="center" vertical="center" wrapText="1"/>
    </xf>
    <xf numFmtId="0" fontId="45" fillId="3" borderId="6" xfId="0" applyFont="1" applyFill="1" applyBorder="1" applyAlignment="1">
      <alignment vertical="center" wrapText="1"/>
    </xf>
    <xf numFmtId="0" fontId="45" fillId="3" borderId="5" xfId="0" applyFont="1" applyFill="1" applyBorder="1" applyAlignment="1">
      <alignment horizontal="center" vertical="top" wrapText="1"/>
    </xf>
    <xf numFmtId="0" fontId="45" fillId="3" borderId="5" xfId="0" applyFont="1" applyFill="1" applyBorder="1" applyAlignment="1">
      <alignment horizontal="left" wrapText="1"/>
    </xf>
    <xf numFmtId="0" fontId="45" fillId="3" borderId="5" xfId="0" applyFont="1" applyFill="1" applyBorder="1" applyAlignment="1">
      <alignment horizontal="left" vertical="center" wrapText="1"/>
    </xf>
    <xf numFmtId="0" fontId="0" fillId="3" borderId="5" xfId="0" applyFill="1" applyBorder="1"/>
    <xf numFmtId="0" fontId="11" fillId="3" borderId="6" xfId="0" applyFont="1" applyFill="1" applyBorder="1" applyAlignment="1"/>
    <xf numFmtId="0" fontId="9" fillId="3" borderId="2" xfId="0" applyFont="1" applyFill="1" applyBorder="1" applyAlignment="1">
      <alignment horizontal="left"/>
    </xf>
    <xf numFmtId="0" fontId="9" fillId="3" borderId="5" xfId="0" applyFont="1" applyFill="1" applyBorder="1" applyAlignment="1">
      <alignment horizontal="left"/>
    </xf>
    <xf numFmtId="0" fontId="9" fillId="3" borderId="6" xfId="0" applyFont="1" applyFill="1" applyBorder="1" applyAlignment="1">
      <alignment horizontal="left"/>
    </xf>
    <xf numFmtId="0" fontId="17" fillId="11" borderId="2" xfId="69" applyNumberFormat="1" applyFont="1" applyFill="1" applyBorder="1" applyAlignment="1" applyProtection="1">
      <alignment horizontal="left" vertical="center" wrapText="1"/>
      <protection locked="0"/>
    </xf>
    <xf numFmtId="0" fontId="17" fillId="11" borderId="6" xfId="69" applyNumberFormat="1" applyFont="1" applyFill="1" applyBorder="1" applyAlignment="1" applyProtection="1">
      <alignment horizontal="left" vertical="center" wrapText="1"/>
      <protection locked="0"/>
    </xf>
    <xf numFmtId="0" fontId="17" fillId="11" borderId="2" xfId="0" applyFont="1" applyFill="1" applyBorder="1" applyAlignment="1" applyProtection="1">
      <alignment horizontal="left" vertical="center" wrapText="1"/>
      <protection locked="0"/>
    </xf>
    <xf numFmtId="0" fontId="17" fillId="11" borderId="6" xfId="0" applyFont="1" applyFill="1" applyBorder="1" applyAlignment="1" applyProtection="1">
      <alignment horizontal="left" vertical="center" wrapText="1"/>
      <protection locked="0"/>
    </xf>
    <xf numFmtId="0" fontId="17" fillId="11" borderId="2" xfId="69" applyNumberFormat="1" applyFont="1" applyFill="1" applyBorder="1" applyAlignment="1" applyProtection="1">
      <alignment horizontal="left" vertical="center"/>
      <protection locked="0"/>
    </xf>
    <xf numFmtId="0" fontId="17" fillId="11" borderId="6" xfId="69" applyNumberFormat="1" applyFont="1" applyFill="1" applyBorder="1" applyAlignment="1" applyProtection="1">
      <alignment horizontal="left" vertical="center"/>
      <protection locked="0"/>
    </xf>
    <xf numFmtId="0" fontId="17" fillId="11" borderId="2" xfId="69" applyNumberFormat="1" applyFont="1" applyFill="1" applyBorder="1" applyAlignment="1" applyProtection="1">
      <alignment horizontal="left" vertical="top" wrapText="1"/>
      <protection locked="0"/>
    </xf>
    <xf numFmtId="0" fontId="17" fillId="11" borderId="6" xfId="69" applyNumberFormat="1" applyFont="1" applyFill="1" applyBorder="1" applyAlignment="1" applyProtection="1">
      <alignment horizontal="left" vertical="top" wrapText="1"/>
      <protection locked="0"/>
    </xf>
    <xf numFmtId="0" fontId="5" fillId="8" borderId="2" xfId="0" applyFont="1" applyFill="1" applyBorder="1" applyAlignment="1" applyProtection="1">
      <alignment horizontal="left" vertical="top"/>
      <protection locked="0"/>
    </xf>
    <xf numFmtId="0" fontId="5" fillId="8" borderId="6" xfId="0" applyFont="1" applyFill="1" applyBorder="1" applyAlignment="1" applyProtection="1">
      <alignment horizontal="left" vertical="top"/>
      <protection locked="0"/>
    </xf>
    <xf numFmtId="0" fontId="9" fillId="8" borderId="2" xfId="0" applyFont="1" applyFill="1" applyBorder="1" applyAlignment="1">
      <alignment horizontal="left" vertical="center" wrapText="1"/>
    </xf>
    <xf numFmtId="0" fontId="9" fillId="8" borderId="6" xfId="0" applyFont="1" applyFill="1" applyBorder="1" applyAlignment="1">
      <alignment horizontal="left" vertical="center" wrapText="1"/>
    </xf>
    <xf numFmtId="0" fontId="5" fillId="8" borderId="2" xfId="0" applyFont="1" applyFill="1" applyBorder="1" applyAlignment="1">
      <alignment horizontal="left" vertical="center" wrapText="1"/>
    </xf>
    <xf numFmtId="0" fontId="5" fillId="8" borderId="6" xfId="0" applyFont="1" applyFill="1" applyBorder="1" applyAlignment="1">
      <alignment horizontal="left" vertical="center" wrapText="1"/>
    </xf>
    <xf numFmtId="0" fontId="6" fillId="8" borderId="2" xfId="0" applyFont="1" applyFill="1" applyBorder="1" applyAlignment="1">
      <alignment horizontal="left" vertical="center"/>
    </xf>
    <xf numFmtId="0" fontId="6" fillId="8" borderId="6" xfId="0" applyFont="1" applyFill="1" applyBorder="1" applyAlignment="1">
      <alignment horizontal="left" vertical="center"/>
    </xf>
    <xf numFmtId="0" fontId="15" fillId="4" borderId="2" xfId="0" applyFont="1" applyFill="1" applyBorder="1" applyAlignment="1" applyProtection="1">
      <alignment horizontal="left" vertical="center"/>
      <protection locked="0"/>
    </xf>
    <xf numFmtId="0" fontId="15" fillId="4" borderId="6" xfId="0" applyFont="1" applyFill="1" applyBorder="1" applyAlignment="1" applyProtection="1">
      <alignment horizontal="left" vertical="center"/>
      <protection locked="0"/>
    </xf>
    <xf numFmtId="0" fontId="16" fillId="4" borderId="2" xfId="0" applyFont="1" applyFill="1" applyBorder="1" applyAlignment="1" applyProtection="1">
      <alignment horizontal="left" vertical="center"/>
      <protection locked="0"/>
    </xf>
    <xf numFmtId="0" fontId="16" fillId="4" borderId="5" xfId="0" applyFont="1" applyFill="1" applyBorder="1" applyAlignment="1" applyProtection="1">
      <alignment horizontal="left" vertical="center"/>
      <protection locked="0"/>
    </xf>
    <xf numFmtId="0" fontId="16" fillId="4" borderId="6" xfId="0" applyFont="1" applyFill="1" applyBorder="1" applyAlignment="1" applyProtection="1">
      <alignment horizontal="left" vertical="center"/>
      <protection locked="0"/>
    </xf>
    <xf numFmtId="0" fontId="6" fillId="8" borderId="2" xfId="0" applyFont="1" applyFill="1" applyBorder="1" applyAlignment="1">
      <alignment horizontal="left" vertical="center" wrapText="1"/>
    </xf>
    <xf numFmtId="0" fontId="6" fillId="8" borderId="6" xfId="0" applyFont="1" applyFill="1" applyBorder="1" applyAlignment="1">
      <alignment horizontal="left" vertical="center" wrapText="1"/>
    </xf>
    <xf numFmtId="0" fontId="9" fillId="8" borderId="2" xfId="0" applyFont="1" applyFill="1" applyBorder="1" applyAlignment="1">
      <alignment horizontal="left" wrapText="1"/>
    </xf>
    <xf numFmtId="0" fontId="9" fillId="8" borderId="6" xfId="0" applyFont="1" applyFill="1" applyBorder="1" applyAlignment="1">
      <alignment horizontal="left" wrapText="1"/>
    </xf>
    <xf numFmtId="0" fontId="9" fillId="8" borderId="2" xfId="0" applyFont="1" applyFill="1" applyBorder="1" applyAlignment="1">
      <alignment horizontal="left" vertical="top" wrapText="1"/>
    </xf>
    <xf numFmtId="0" fontId="9" fillId="8" borderId="6" xfId="0" applyFont="1" applyFill="1" applyBorder="1" applyAlignment="1">
      <alignment horizontal="left" vertical="top" wrapText="1"/>
    </xf>
    <xf numFmtId="0" fontId="5" fillId="8" borderId="2" xfId="0" applyFont="1" applyFill="1" applyBorder="1" applyAlignment="1">
      <alignment horizontal="left" wrapText="1"/>
    </xf>
    <xf numFmtId="0" fontId="5" fillId="8" borderId="6" xfId="0" applyFont="1" applyFill="1" applyBorder="1" applyAlignment="1">
      <alignment horizontal="left" wrapText="1"/>
    </xf>
    <xf numFmtId="0" fontId="16" fillId="9" borderId="5" xfId="0" applyFont="1" applyFill="1" applyBorder="1" applyAlignment="1" applyProtection="1">
      <alignment horizontal="left" vertical="center"/>
      <protection locked="0"/>
    </xf>
    <xf numFmtId="0" fontId="16" fillId="9" borderId="6" xfId="0" applyFont="1" applyFill="1" applyBorder="1" applyAlignment="1" applyProtection="1">
      <alignment horizontal="left" vertical="center"/>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5" borderId="13" xfId="0" applyFont="1" applyFill="1" applyBorder="1" applyAlignment="1">
      <alignment horizontal="center" vertical="top" wrapText="1"/>
    </xf>
    <xf numFmtId="0" fontId="5" fillId="5" borderId="16" xfId="0" applyFont="1" applyFill="1" applyBorder="1" applyAlignment="1">
      <alignment horizontal="center" vertical="top" wrapText="1"/>
    </xf>
    <xf numFmtId="0" fontId="5" fillId="5" borderId="17" xfId="0" applyFont="1" applyFill="1" applyBorder="1" applyAlignment="1">
      <alignment horizontal="center" vertical="top" wrapText="1"/>
    </xf>
    <xf numFmtId="0" fontId="5" fillId="0" borderId="0" xfId="0" applyFont="1" applyAlignment="1">
      <alignment horizontal="center"/>
    </xf>
    <xf numFmtId="0" fontId="5" fillId="0" borderId="0" xfId="0" applyFont="1" applyAlignment="1">
      <alignment horizontal="center" wrapText="1"/>
    </xf>
    <xf numFmtId="0" fontId="5" fillId="5" borderId="3" xfId="0" applyFont="1" applyFill="1" applyBorder="1" applyAlignment="1">
      <alignment horizontal="center" vertical="top" wrapText="1"/>
    </xf>
    <xf numFmtId="0" fontId="5" fillId="5" borderId="11" xfId="0" applyFont="1" applyFill="1" applyBorder="1" applyAlignment="1">
      <alignment horizontal="center" vertical="top" wrapText="1"/>
    </xf>
    <xf numFmtId="0" fontId="5" fillId="5" borderId="4" xfId="0" applyFont="1" applyFill="1" applyBorder="1" applyAlignment="1">
      <alignment horizontal="center" vertical="top" wrapText="1"/>
    </xf>
    <xf numFmtId="0" fontId="5" fillId="0" borderId="3" xfId="0" applyFont="1" applyBorder="1" applyAlignment="1">
      <alignment horizontal="center" vertical="top" wrapText="1"/>
    </xf>
    <xf numFmtId="0" fontId="5" fillId="0" borderId="11" xfId="0" applyFont="1" applyBorder="1" applyAlignment="1">
      <alignment horizontal="center" vertical="top" wrapText="1"/>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16" fillId="4" borderId="2" xfId="0" applyFont="1" applyFill="1" applyBorder="1" applyAlignment="1" applyProtection="1">
      <alignment horizontal="left" vertical="top"/>
      <protection locked="0"/>
    </xf>
    <xf numFmtId="0" fontId="16" fillId="4" borderId="5" xfId="0" applyFont="1" applyFill="1" applyBorder="1" applyAlignment="1" applyProtection="1">
      <alignment horizontal="left" vertical="top"/>
      <protection locked="0"/>
    </xf>
    <xf numFmtId="0" fontId="16" fillId="4" borderId="6" xfId="0" applyFont="1" applyFill="1" applyBorder="1" applyAlignment="1" applyProtection="1">
      <alignment horizontal="left" vertical="top"/>
      <protection locked="0"/>
    </xf>
    <xf numFmtId="0" fontId="6" fillId="8" borderId="2" xfId="0" applyFont="1" applyFill="1" applyBorder="1" applyAlignment="1">
      <alignment horizontal="left" vertical="top" wrapText="1"/>
    </xf>
    <xf numFmtId="0" fontId="6" fillId="8" borderId="6" xfId="0" applyFont="1" applyFill="1" applyBorder="1" applyAlignment="1">
      <alignment horizontal="left" vertical="top" wrapText="1"/>
    </xf>
    <xf numFmtId="0" fontId="16" fillId="9" borderId="2" xfId="0" applyFont="1" applyFill="1" applyBorder="1" applyAlignment="1" applyProtection="1">
      <alignment horizontal="center" vertical="center"/>
      <protection locked="0"/>
    </xf>
    <xf numFmtId="0" fontId="16" fillId="9" borderId="6" xfId="0" applyFont="1" applyFill="1" applyBorder="1" applyAlignment="1" applyProtection="1">
      <alignment horizontal="center" vertical="center"/>
      <protection locked="0"/>
    </xf>
    <xf numFmtId="0" fontId="16" fillId="9" borderId="2" xfId="0" applyFont="1" applyFill="1" applyBorder="1" applyAlignment="1" applyProtection="1">
      <alignment horizontal="left" vertical="center"/>
      <protection locked="0"/>
    </xf>
    <xf numFmtId="0" fontId="15" fillId="4" borderId="2" xfId="0" applyFont="1" applyFill="1" applyBorder="1" applyAlignment="1" applyProtection="1">
      <alignment horizontal="left" vertical="top"/>
      <protection locked="0"/>
    </xf>
    <xf numFmtId="0" fontId="15" fillId="4" borderId="6" xfId="0" applyFont="1" applyFill="1" applyBorder="1" applyAlignment="1" applyProtection="1">
      <alignment horizontal="left" vertical="top"/>
      <protection locked="0"/>
    </xf>
    <xf numFmtId="0" fontId="25" fillId="5" borderId="3" xfId="0" applyFont="1" applyFill="1" applyBorder="1" applyAlignment="1">
      <alignment horizontal="center" vertical="top" wrapText="1"/>
    </xf>
    <xf numFmtId="0" fontId="25" fillId="5" borderId="11" xfId="0" applyFont="1" applyFill="1" applyBorder="1" applyAlignment="1">
      <alignment horizontal="center" vertical="top" wrapText="1"/>
    </xf>
    <xf numFmtId="0" fontId="25" fillId="5" borderId="4" xfId="0" applyFont="1" applyFill="1" applyBorder="1" applyAlignment="1">
      <alignment horizontal="center" vertical="top" wrapText="1"/>
    </xf>
    <xf numFmtId="0" fontId="5" fillId="3" borderId="2" xfId="0" applyFont="1" applyFill="1" applyBorder="1" applyAlignment="1">
      <alignment horizontal="left" wrapText="1"/>
    </xf>
    <xf numFmtId="0" fontId="5" fillId="3" borderId="5" xfId="0" applyFont="1" applyFill="1" applyBorder="1" applyAlignment="1">
      <alignment horizontal="left" wrapText="1"/>
    </xf>
    <xf numFmtId="0" fontId="5" fillId="3" borderId="6" xfId="0" applyFont="1" applyFill="1" applyBorder="1" applyAlignment="1">
      <alignment horizontal="left" wrapText="1"/>
    </xf>
    <xf numFmtId="0" fontId="9" fillId="8" borderId="2" xfId="0" applyFont="1" applyFill="1" applyBorder="1" applyAlignment="1">
      <alignment horizontal="left"/>
    </xf>
    <xf numFmtId="0" fontId="9" fillId="8" borderId="6" xfId="0" applyFont="1" applyFill="1" applyBorder="1" applyAlignment="1">
      <alignment horizontal="left"/>
    </xf>
    <xf numFmtId="0" fontId="0" fillId="8" borderId="1" xfId="0" applyFill="1" applyBorder="1" applyAlignment="1">
      <alignment horizontal="left" vertical="top" wrapText="1"/>
    </xf>
    <xf numFmtId="0" fontId="5" fillId="9" borderId="5" xfId="0" applyFont="1" applyFill="1" applyBorder="1" applyAlignment="1" applyProtection="1">
      <alignment horizontal="left" vertical="center" wrapText="1"/>
      <protection locked="0"/>
    </xf>
    <xf numFmtId="0" fontId="5" fillId="9" borderId="6" xfId="0" applyFont="1" applyFill="1" applyBorder="1" applyAlignment="1" applyProtection="1">
      <alignment horizontal="left" vertical="center" wrapText="1"/>
      <protection locked="0"/>
    </xf>
    <xf numFmtId="0" fontId="5" fillId="9" borderId="2" xfId="0" applyFont="1" applyFill="1" applyBorder="1" applyAlignment="1" applyProtection="1">
      <alignment horizontal="left" vertical="center"/>
      <protection locked="0"/>
    </xf>
    <xf numFmtId="0" fontId="5" fillId="9" borderId="6" xfId="0" applyFont="1" applyFill="1" applyBorder="1" applyAlignment="1" applyProtection="1">
      <alignment horizontal="left" vertical="center"/>
      <protection locked="0"/>
    </xf>
    <xf numFmtId="0" fontId="5" fillId="8" borderId="1" xfId="0" applyFont="1" applyFill="1" applyBorder="1" applyAlignment="1">
      <alignment horizontal="left" vertical="center"/>
    </xf>
    <xf numFmtId="0" fontId="5" fillId="8" borderId="5" xfId="0" applyFont="1" applyFill="1" applyBorder="1" applyAlignment="1">
      <alignment horizontal="left" vertical="top" wrapText="1"/>
    </xf>
    <xf numFmtId="0" fontId="5" fillId="8" borderId="6" xfId="0" applyFont="1" applyFill="1" applyBorder="1" applyAlignment="1">
      <alignment horizontal="left" vertical="top" wrapText="1"/>
    </xf>
    <xf numFmtId="0" fontId="5" fillId="4" borderId="2"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8" borderId="2" xfId="0" applyFont="1" applyFill="1" applyBorder="1" applyAlignment="1">
      <alignment horizontal="left" vertical="top" wrapText="1"/>
    </xf>
    <xf numFmtId="0" fontId="0" fillId="8" borderId="1" xfId="0" applyFill="1" applyBorder="1" applyAlignment="1">
      <alignment horizontal="left" vertical="top"/>
    </xf>
    <xf numFmtId="0" fontId="5" fillId="4" borderId="2"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9" borderId="5" xfId="0" applyFont="1" applyFill="1" applyBorder="1" applyAlignment="1" applyProtection="1">
      <alignment horizontal="left" vertical="center"/>
      <protection locked="0"/>
    </xf>
    <xf numFmtId="0" fontId="7" fillId="4" borderId="2" xfId="0" applyFont="1" applyFill="1" applyBorder="1" applyAlignment="1" applyProtection="1">
      <alignment horizontal="left" vertical="center"/>
      <protection locked="0"/>
    </xf>
    <xf numFmtId="0" fontId="7" fillId="4" borderId="6" xfId="0" applyFont="1" applyFill="1" applyBorder="1" applyAlignment="1" applyProtection="1">
      <alignment horizontal="left" vertical="center"/>
      <protection locked="0"/>
    </xf>
    <xf numFmtId="0" fontId="5" fillId="9" borderId="1" xfId="0" applyFont="1" applyFill="1" applyBorder="1" applyAlignment="1" applyProtection="1">
      <alignment horizontal="left" vertical="center"/>
      <protection locked="0"/>
    </xf>
    <xf numFmtId="0" fontId="7" fillId="4" borderId="2" xfId="0" applyFont="1" applyFill="1" applyBorder="1" applyAlignment="1" applyProtection="1">
      <alignment horizontal="left" vertical="top"/>
      <protection locked="0"/>
    </xf>
    <xf numFmtId="0" fontId="7" fillId="4" borderId="6" xfId="0" applyFont="1" applyFill="1" applyBorder="1" applyAlignment="1" applyProtection="1">
      <alignment horizontal="left" vertical="top"/>
      <protection locked="0"/>
    </xf>
    <xf numFmtId="0" fontId="7" fillId="4" borderId="2" xfId="0" applyFont="1" applyFill="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protection locked="0"/>
    </xf>
    <xf numFmtId="0" fontId="5" fillId="8" borderId="2" xfId="0" applyFont="1" applyFill="1" applyBorder="1" applyAlignment="1">
      <alignment horizontal="left" vertical="center"/>
    </xf>
    <xf numFmtId="0" fontId="5" fillId="8" borderId="6" xfId="0" applyFont="1" applyFill="1" applyBorder="1" applyAlignment="1">
      <alignment horizontal="left" vertical="center"/>
    </xf>
    <xf numFmtId="0" fontId="16" fillId="9" borderId="2" xfId="0" applyFont="1" applyFill="1" applyBorder="1" applyAlignment="1" applyProtection="1">
      <alignment horizontal="left" vertical="top"/>
      <protection locked="0"/>
    </xf>
    <xf numFmtId="0" fontId="16" fillId="9" borderId="6" xfId="0" applyFont="1" applyFill="1" applyBorder="1" applyAlignment="1" applyProtection="1">
      <alignment horizontal="left" vertical="top"/>
      <protection locked="0"/>
    </xf>
    <xf numFmtId="0" fontId="5" fillId="2" borderId="1" xfId="0" applyFont="1" applyFill="1" applyBorder="1" applyAlignment="1">
      <alignment horizontal="center" vertical="top" wrapText="1"/>
    </xf>
    <xf numFmtId="0" fontId="5" fillId="5" borderId="2"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top" wrapText="1"/>
    </xf>
    <xf numFmtId="167" fontId="5" fillId="2" borderId="1" xfId="4" applyFont="1" applyFill="1" applyBorder="1" applyAlignment="1">
      <alignment horizontal="center" vertical="center" wrapText="1"/>
    </xf>
    <xf numFmtId="167" fontId="5" fillId="2" borderId="1" xfId="4" applyFont="1" applyFill="1" applyBorder="1" applyAlignment="1">
      <alignment horizontal="center" vertical="center"/>
    </xf>
    <xf numFmtId="0" fontId="17" fillId="11" borderId="2" xfId="0" applyFont="1" applyFill="1" applyBorder="1" applyAlignment="1" applyProtection="1">
      <alignment horizontal="left" vertical="center"/>
      <protection locked="0"/>
    </xf>
    <xf numFmtId="0" fontId="17" fillId="11" borderId="6" xfId="0" applyFont="1" applyFill="1" applyBorder="1" applyAlignment="1" applyProtection="1">
      <alignment horizontal="left" vertical="center"/>
      <protection locked="0"/>
    </xf>
    <xf numFmtId="0" fontId="34" fillId="8" borderId="2" xfId="0" applyFont="1" applyFill="1" applyBorder="1" applyAlignment="1">
      <alignment horizontal="left" vertical="center" wrapText="1"/>
    </xf>
    <xf numFmtId="0" fontId="34" fillId="8" borderId="6" xfId="0" applyFont="1" applyFill="1" applyBorder="1" applyAlignment="1">
      <alignment horizontal="left" vertical="center" wrapText="1"/>
    </xf>
    <xf numFmtId="0" fontId="5" fillId="9" borderId="1" xfId="0" applyFont="1" applyFill="1" applyBorder="1" applyAlignment="1" applyProtection="1">
      <alignment horizontal="left" vertical="center" wrapText="1"/>
      <protection locked="0"/>
    </xf>
    <xf numFmtId="0" fontId="5" fillId="8" borderId="2" xfId="0" applyFont="1" applyFill="1" applyBorder="1" applyAlignment="1" applyProtection="1">
      <alignment horizontal="left" vertical="center"/>
      <protection locked="0"/>
    </xf>
    <xf numFmtId="0" fontId="5" fillId="8" borderId="6" xfId="0" applyFont="1" applyFill="1" applyBorder="1" applyAlignment="1" applyProtection="1">
      <alignment horizontal="left" vertical="center"/>
      <protection locked="0"/>
    </xf>
    <xf numFmtId="0" fontId="35" fillId="8" borderId="2" xfId="0" applyFont="1" applyFill="1" applyBorder="1" applyAlignment="1">
      <alignment horizontal="left" vertical="center"/>
    </xf>
    <xf numFmtId="0" fontId="35" fillId="8" borderId="6" xfId="0" applyFont="1" applyFill="1" applyBorder="1" applyAlignment="1">
      <alignment horizontal="left" vertical="center"/>
    </xf>
  </cellXfs>
  <cellStyles count="82">
    <cellStyle name="Comma" xfId="69" builtinId="3"/>
    <cellStyle name="Comma 10" xfId="4"/>
    <cellStyle name="Comma 2" xfId="5"/>
    <cellStyle name="Comma 2 2" xfId="6"/>
    <cellStyle name="Comma 2 3" xfId="7"/>
    <cellStyle name="Comma 2 4" xfId="8"/>
    <cellStyle name="Comma 2 6" xfId="72"/>
    <cellStyle name="Comma 3" xfId="9"/>
    <cellStyle name="Comma 3 2" xfId="10"/>
    <cellStyle name="Comma 3 2 2" xfId="11"/>
    <cellStyle name="Comma 3 3" xfId="12"/>
    <cellStyle name="Comma 4" xfId="13"/>
    <cellStyle name="Comma 5" xfId="14"/>
    <cellStyle name="Comma 6" xfId="15"/>
    <cellStyle name="Comma 6 2" xfId="16"/>
    <cellStyle name="Comma 6 2 2" xfId="17"/>
    <cellStyle name="Comma 6 3" xfId="18"/>
    <cellStyle name="Comma 7" xfId="19"/>
    <cellStyle name="Comma 7 2" xfId="20"/>
    <cellStyle name="Comma 7 2 2" xfId="21"/>
    <cellStyle name="Comma 7 3" xfId="22"/>
    <cellStyle name="Comma 8" xfId="23"/>
    <cellStyle name="Comma 9" xfId="24"/>
    <cellStyle name="Normal" xfId="0" builtinId="0"/>
    <cellStyle name="Normal 10" xfId="25"/>
    <cellStyle name="Normal 10 3" xfId="81"/>
    <cellStyle name="Normal 11" xfId="26"/>
    <cellStyle name="Normal 12" xfId="27"/>
    <cellStyle name="Normal 12 3" xfId="80"/>
    <cellStyle name="Normal 13" xfId="28"/>
    <cellStyle name="Normal 14" xfId="73"/>
    <cellStyle name="Normal 15" xfId="74"/>
    <cellStyle name="Normal 2" xfId="29"/>
    <cellStyle name="Normal 2 2" xfId="30"/>
    <cellStyle name="Normal 2 3" xfId="31"/>
    <cellStyle name="Normal 2 3 2" xfId="32"/>
    <cellStyle name="Normal 2 4" xfId="33"/>
    <cellStyle name="Normal 22" xfId="79"/>
    <cellStyle name="Normal 3" xfId="34"/>
    <cellStyle name="Normal 3 2" xfId="35"/>
    <cellStyle name="Normal 3 3" xfId="75"/>
    <cellStyle name="Normal 4" xfId="36"/>
    <cellStyle name="Normal 4 2" xfId="37"/>
    <cellStyle name="Normal 4 2 2" xfId="76"/>
    <cellStyle name="Normal 4 3" xfId="38"/>
    <cellStyle name="Normal 5" xfId="39"/>
    <cellStyle name="Normal 6" xfId="40"/>
    <cellStyle name="Normal 6 2" xfId="41"/>
    <cellStyle name="Normal 6 2 2" xfId="42"/>
    <cellStyle name="Normal 6 3" xfId="43"/>
    <cellStyle name="Normal 6 5" xfId="78"/>
    <cellStyle name="Normal 7" xfId="44"/>
    <cellStyle name="Normal 7 4" xfId="77"/>
    <cellStyle name="Normal 8" xfId="45"/>
    <cellStyle name="Normal 8 2" xfId="46"/>
    <cellStyle name="Normal 9" xfId="47"/>
    <cellStyle name="Percent" xfId="70" builtinId="5"/>
    <cellStyle name="SN_241" xfId="1"/>
    <cellStyle name="Style 1" xfId="49"/>
    <cellStyle name="Style 1 2" xfId="50"/>
    <cellStyle name="Style 1 3" xfId="51"/>
    <cellStyle name="Style 1 4" xfId="52"/>
    <cellStyle name="Обычный 2" xfId="53"/>
    <cellStyle name="Обычный 3" xfId="54"/>
    <cellStyle name="Обычный 4" xfId="55"/>
    <cellStyle name="Обычный 5" xfId="56"/>
    <cellStyle name="Обычный 6" xfId="2"/>
    <cellStyle name="Обычный 7" xfId="57"/>
    <cellStyle name="Процентный 2" xfId="48"/>
    <cellStyle name="Стиль 1" xfId="58"/>
    <cellStyle name="Стиль 1 2" xfId="59"/>
    <cellStyle name="Стиль 1 2 2" xfId="60"/>
    <cellStyle name="Стиль 1 2 3" xfId="61"/>
    <cellStyle name="Стиль 1 3" xfId="62"/>
    <cellStyle name="Финансовый 2" xfId="63"/>
    <cellStyle name="Финансовый 2 2" xfId="64"/>
    <cellStyle name="Финансовый 3" xfId="65"/>
    <cellStyle name="Финансовый 3 2" xfId="66"/>
    <cellStyle name="Финансовый 4" xfId="67"/>
    <cellStyle name="Финансовый 5" xfId="68"/>
    <cellStyle name="Финансовый 6" xfId="3"/>
    <cellStyle name="Финансовый 9" xfId="71"/>
  </cellStyles>
  <dxfs count="0"/>
  <tableStyles count="0" defaultTableStyle="TableStyleMedium2" defaultPivotStyle="PivotStyleLight16"/>
  <colors>
    <mruColors>
      <color rgb="FF05CB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KGMSN%20BUDGET/MJCC%202025-2027/11,03,2024/1146_11001_11002_11003/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KGMSN%20BUDGET/MJCC%202025-2027/11,03,2024/1146_11001_11002_11003/20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KGMSN%20BUDGET/MJCC%202025-2027/11,03,2024/1146_11001_11002_11003/20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esktop/KGMSN%20BUDGET/MJCC%202025-2027/KGMSN%20BUDGET/MJCC%202025-2027/TsIG/&#1344;&#1377;&#1406;&#1381;&#1388;&#1406;&#1377;&#1390;%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5"/>
      <sheetName val="ԿԳՄՍՆ"/>
      <sheetName val="հաստիքացուցակ"/>
      <sheetName val="taracq"/>
      <sheetName val="ՀԴԾ"/>
      <sheetName val="Բլլ հաշվարկ"/>
      <sheetName val="Ուսուցչի օգնական"/>
      <sheetName val="Snund (2025)"/>
      <sheetName val="dasagirq"/>
    </sheetNames>
    <sheetDataSet>
      <sheetData sheetId="0" refreshError="1"/>
      <sheetData sheetId="1" refreshError="1">
        <row r="127">
          <cell r="J127">
            <v>748336.37314989674</v>
          </cell>
          <cell r="K127">
            <v>1529523.822204439</v>
          </cell>
          <cell r="L127">
            <v>10556888.121221757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6"/>
      <sheetName val="ԿԳՄՍՆ"/>
      <sheetName val="հաստիքացուցակ"/>
      <sheetName val="taracq"/>
      <sheetName val="ՀԴԾ"/>
      <sheetName val="Բլլ հաշվարկ"/>
      <sheetName val="Ուսուցչի օգնական"/>
      <sheetName val="Snund (2026)"/>
      <sheetName val="dasagirq"/>
    </sheetNames>
    <sheetDataSet>
      <sheetData sheetId="0" refreshError="1"/>
      <sheetData sheetId="1" refreshError="1">
        <row r="127">
          <cell r="J127">
            <v>704435.56089544948</v>
          </cell>
          <cell r="K127">
            <v>1471958.2305672958</v>
          </cell>
          <cell r="L127">
            <v>10660160.924690001</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7"/>
      <sheetName val="ԿԳՄՍՆ"/>
      <sheetName val="հաստիքացուցակ"/>
      <sheetName val="taracq"/>
      <sheetName val="ՀԴԾ"/>
      <sheetName val="Բլլ հաշվարկ"/>
      <sheetName val="Ուսուցչի օգնական"/>
      <sheetName val="Snund (2027)"/>
      <sheetName val="dasagirq"/>
    </sheetNames>
    <sheetDataSet>
      <sheetData sheetId="0" refreshError="1"/>
      <sheetData sheetId="1" refreshError="1">
        <row r="127">
          <cell r="J127">
            <v>714886.45326695836</v>
          </cell>
          <cell r="K127">
            <v>1372819.8849518197</v>
          </cell>
          <cell r="L127">
            <v>10637075.793588677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Հ7 Ձև1 EURO"/>
      <sheetName val="Հ7 Ձև1 ՀՀ դրամ"/>
    </sheetNames>
    <sheetDataSet>
      <sheetData sheetId="0"/>
      <sheetData sheetId="1">
        <row r="13">
          <cell r="V13">
            <v>125154.1</v>
          </cell>
        </row>
        <row r="14">
          <cell r="V14">
            <v>41829.9</v>
          </cell>
        </row>
        <row r="15">
          <cell r="V15">
            <v>243739.1</v>
          </cell>
        </row>
        <row r="16">
          <cell r="V16">
            <v>352123.7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96"/>
  <sheetViews>
    <sheetView tabSelected="1" zoomScale="115" zoomScaleNormal="115" workbookViewId="0">
      <pane xSplit="5" ySplit="8" topLeftCell="F463" activePane="bottomRight" state="frozen"/>
      <selection pane="topRight" activeCell="E1" sqref="E1"/>
      <selection pane="bottomLeft" activeCell="A330" sqref="A330"/>
      <selection pane="bottomRight" activeCell="N717" sqref="N717"/>
    </sheetView>
  </sheetViews>
  <sheetFormatPr defaultColWidth="9.140625" defaultRowHeight="12.75" outlineLevelRow="2" outlineLevelCol="1"/>
  <cols>
    <col min="1" max="1" width="0" style="575" hidden="1" customWidth="1"/>
    <col min="2" max="2" width="9.5703125" style="361" customWidth="1"/>
    <col min="3" max="3" width="8.42578125" style="362" customWidth="1"/>
    <col min="4" max="4" width="7.28515625" style="362" hidden="1" customWidth="1" outlineLevel="1"/>
    <col min="5" max="5" width="49.5703125" style="363" customWidth="1" collapsed="1"/>
    <col min="6" max="6" width="5.140625" style="364" hidden="1" customWidth="1" outlineLevel="1"/>
    <col min="7" max="7" width="19" style="493" customWidth="1" collapsed="1"/>
    <col min="8" max="8" width="14.7109375" style="493" customWidth="1"/>
    <col min="9" max="9" width="14.42578125" style="493" customWidth="1"/>
    <col min="10" max="10" width="17.5703125" style="493" customWidth="1"/>
    <col min="11" max="16384" width="9.140625" style="360"/>
  </cols>
  <sheetData>
    <row r="1" spans="1:10">
      <c r="A1" s="362"/>
      <c r="B1" s="594"/>
      <c r="C1" s="594"/>
      <c r="D1" s="594"/>
      <c r="E1" s="594"/>
      <c r="F1" s="594"/>
      <c r="G1" s="594"/>
      <c r="H1" s="594"/>
      <c r="I1" s="594"/>
      <c r="J1" s="594"/>
    </row>
    <row r="2" spans="1:10">
      <c r="A2" s="362"/>
      <c r="B2" s="595" t="s">
        <v>1239</v>
      </c>
      <c r="C2" s="595"/>
      <c r="D2" s="595"/>
      <c r="E2" s="595"/>
      <c r="F2" s="595"/>
      <c r="G2" s="595"/>
      <c r="H2" s="595"/>
      <c r="I2" s="595"/>
      <c r="J2" s="595"/>
    </row>
    <row r="3" spans="1:10">
      <c r="A3" s="362"/>
    </row>
    <row r="4" spans="1:10" s="370" customFormat="1">
      <c r="A4" s="362"/>
      <c r="B4" s="366"/>
      <c r="C4" s="367"/>
      <c r="D4" s="367"/>
      <c r="E4" s="368"/>
      <c r="F4" s="369" t="e">
        <f>+F8-F7</f>
        <v>#REF!</v>
      </c>
      <c r="G4" s="494"/>
      <c r="H4" s="494"/>
      <c r="I4" s="494"/>
      <c r="J4" s="494"/>
    </row>
    <row r="5" spans="1:10">
      <c r="A5" s="362"/>
      <c r="B5" s="596" t="s">
        <v>3</v>
      </c>
      <c r="C5" s="597" t="s">
        <v>4</v>
      </c>
      <c r="D5" s="372"/>
      <c r="E5" s="598" t="s">
        <v>0</v>
      </c>
      <c r="F5" s="599" t="s">
        <v>7</v>
      </c>
      <c r="G5" s="600" t="s">
        <v>1</v>
      </c>
      <c r="H5" s="601" t="s">
        <v>11</v>
      </c>
      <c r="I5" s="601"/>
      <c r="J5" s="601"/>
    </row>
    <row r="6" spans="1:10">
      <c r="A6" s="362"/>
      <c r="B6" s="596"/>
      <c r="C6" s="597"/>
      <c r="D6" s="372"/>
      <c r="E6" s="598"/>
      <c r="F6" s="599"/>
      <c r="G6" s="600"/>
      <c r="H6" s="495" t="s">
        <v>2</v>
      </c>
      <c r="I6" s="495" t="s">
        <v>5</v>
      </c>
      <c r="J6" s="495" t="s">
        <v>6</v>
      </c>
    </row>
    <row r="7" spans="1:10">
      <c r="A7" s="362"/>
      <c r="B7" s="373"/>
      <c r="C7" s="591" t="s">
        <v>65</v>
      </c>
      <c r="D7" s="592"/>
      <c r="E7" s="593"/>
      <c r="F7" s="374">
        <v>218789712.51999995</v>
      </c>
      <c r="G7" s="496">
        <v>346476012</v>
      </c>
      <c r="H7" s="496"/>
      <c r="I7" s="496"/>
      <c r="J7" s="496"/>
    </row>
    <row r="8" spans="1:10">
      <c r="B8" s="375" t="s">
        <v>17</v>
      </c>
      <c r="C8" s="602" t="s">
        <v>30</v>
      </c>
      <c r="D8" s="603"/>
      <c r="E8" s="604"/>
      <c r="F8" s="376" t="e">
        <f>+F9+F95+F163+F178+F242+F299+F316+F335+F352+F610+F660+F679+F731+F790+F830+F850+F936+F946+F982+F1024+F1057+F1066+F1098</f>
        <v>#REF!</v>
      </c>
      <c r="G8" s="497" t="e">
        <f>+G9+G95+G163+G178+G242+G299+G316+G335+G352+G610+G660+G679+G731+G790+G830+G850+G936+G946+G982+G1024+G1057+G1066+G1098</f>
        <v>#REF!</v>
      </c>
      <c r="H8" s="497">
        <f>+H9+H95+H163+H178+H242+H299+H316+H335+H352+H610+H660+H679+H731+H790+H830+H850+H936+H946+H982+H1024+H1057+H1066+H1098</f>
        <v>423927207.43609643</v>
      </c>
      <c r="I8" s="497">
        <f>+I9+I95+I163+I178+I242+I299+I316+I335+I352+I610+I660+I679+I731+I790+I830+I850+I936+I946+I982+I1024+I1057+I1066+I1098</f>
        <v>435439566.75161546</v>
      </c>
      <c r="J8" s="497">
        <f>+J9+J95+J163+J178+J242+J299+J316+J335+J352+J610+J660+J679+J731+J790+J830+J850+J936+J946+J982+J1024+J1057+J1066+J1098</f>
        <v>456770772.97042394</v>
      </c>
    </row>
    <row r="9" spans="1:10" s="394" customFormat="1">
      <c r="A9" s="574">
        <v>1</v>
      </c>
      <c r="B9" s="544">
        <v>1041</v>
      </c>
      <c r="C9" s="612" t="s">
        <v>378</v>
      </c>
      <c r="D9" s="613"/>
      <c r="E9" s="612"/>
      <c r="F9" s="541">
        <f>SUM(F10,F12,F14,F16,F18,F19,F21,F22,F24,F26,F28,F30,F32,F34,F36,F38,F40,F42,F43,F45,F47,F48,F49,F51,F52,F54,F56,F58,F61,F77)</f>
        <v>8213922.089999998</v>
      </c>
      <c r="G9" s="497">
        <f>SUM(G10,G12,G14,G16,G18,G19,G21,G22,G24,G26,G28,G30,G32,G34,G36,G38,G40,G42,G43,G45,G47,G48,G49,G51,G52,G54,G56,G58,G61,G77,G63,G65,G67,G69,G71,G73,G75,G79,G81,G83,G85,G87,G89,G91,G93)</f>
        <v>3984034.4</v>
      </c>
      <c r="H9" s="497">
        <f t="shared" ref="H9:J9" si="0">SUM(H10,H12,H14,H16,H18,H19,H21,H22,H24,H26,H28,H30,H32,H34,H36,H38,H40,H42,H43,H45,H47,H48,H49,H51,H52,H54,H56,H58,H61,H77,H63,H65,H67,H69,H71,H73,H75,H79,H81,H83,H85,H87,H89,H91,H93)</f>
        <v>8674361.2070000004</v>
      </c>
      <c r="I9" s="497">
        <f t="shared" si="0"/>
        <v>8373071.0069999993</v>
      </c>
      <c r="J9" s="497">
        <f t="shared" si="0"/>
        <v>30809767.906999998</v>
      </c>
    </row>
    <row r="10" spans="1:10" s="394" customFormat="1" ht="63.75">
      <c r="A10" s="408"/>
      <c r="B10" s="373">
        <v>1041</v>
      </c>
      <c r="C10" s="392">
        <v>11001</v>
      </c>
      <c r="D10" s="392"/>
      <c r="E10" s="393" t="s">
        <v>379</v>
      </c>
      <c r="F10" s="388">
        <f>+F11</f>
        <v>1797243.69</v>
      </c>
      <c r="G10" s="500">
        <f>+G11</f>
        <v>1367960.9</v>
      </c>
      <c r="H10" s="500">
        <f>+H11</f>
        <v>1573155</v>
      </c>
      <c r="I10" s="500">
        <f>+I11</f>
        <v>1573155</v>
      </c>
      <c r="J10" s="500">
        <f>+J11</f>
        <v>1573155</v>
      </c>
    </row>
    <row r="11" spans="1:10" s="397" customFormat="1">
      <c r="A11" s="395"/>
      <c r="B11" s="396"/>
      <c r="C11" s="385"/>
      <c r="D11" s="385">
        <v>4639</v>
      </c>
      <c r="E11" s="385" t="s">
        <v>1119</v>
      </c>
      <c r="F11" s="389">
        <v>1797243.69</v>
      </c>
      <c r="G11" s="501">
        <v>1367960.9</v>
      </c>
      <c r="H11" s="501">
        <v>1573155</v>
      </c>
      <c r="I11" s="501">
        <v>1573155</v>
      </c>
      <c r="J11" s="501">
        <v>1573155</v>
      </c>
    </row>
    <row r="12" spans="1:10" s="394" customFormat="1" ht="25.5">
      <c r="A12" s="408"/>
      <c r="B12" s="373">
        <v>1041</v>
      </c>
      <c r="C12" s="392" t="s">
        <v>109</v>
      </c>
      <c r="D12" s="392"/>
      <c r="E12" s="393" t="s">
        <v>380</v>
      </c>
      <c r="F12" s="388">
        <f>+F13</f>
        <v>81800</v>
      </c>
      <c r="G12" s="500">
        <f>+G13</f>
        <v>81840</v>
      </c>
      <c r="H12" s="500">
        <f>+H13</f>
        <v>110987.607</v>
      </c>
      <c r="I12" s="500">
        <f>+I13</f>
        <v>119937.607</v>
      </c>
      <c r="J12" s="500">
        <f>+J13</f>
        <v>128887.607</v>
      </c>
    </row>
    <row r="13" spans="1:10" s="397" customFormat="1">
      <c r="A13" s="395"/>
      <c r="B13" s="396"/>
      <c r="C13" s="385"/>
      <c r="D13" s="385">
        <v>4200</v>
      </c>
      <c r="E13" s="385" t="s">
        <v>1120</v>
      </c>
      <c r="F13" s="389">
        <v>81800</v>
      </c>
      <c r="G13" s="501">
        <v>81840</v>
      </c>
      <c r="H13" s="501">
        <v>110987.607</v>
      </c>
      <c r="I13" s="501">
        <v>119937.607</v>
      </c>
      <c r="J13" s="501">
        <v>128887.607</v>
      </c>
    </row>
    <row r="14" spans="1:10" s="394" customFormat="1" ht="25.5">
      <c r="A14" s="408"/>
      <c r="B14" s="373">
        <v>1041</v>
      </c>
      <c r="C14" s="392" t="s">
        <v>235</v>
      </c>
      <c r="D14" s="392"/>
      <c r="E14" s="393" t="s">
        <v>381</v>
      </c>
      <c r="F14" s="388">
        <f>+F15</f>
        <v>98125.62</v>
      </c>
      <c r="G14" s="500">
        <f>+G15</f>
        <v>50087.3</v>
      </c>
      <c r="H14" s="500">
        <f>+H15</f>
        <v>84904.2</v>
      </c>
      <c r="I14" s="500">
        <f>+I15</f>
        <v>99235.199999999997</v>
      </c>
      <c r="J14" s="500">
        <f>+J15</f>
        <v>77770.600000000006</v>
      </c>
    </row>
    <row r="15" spans="1:10" s="397" customFormat="1">
      <c r="A15" s="395"/>
      <c r="B15" s="396"/>
      <c r="C15" s="385"/>
      <c r="D15" s="385">
        <v>4639</v>
      </c>
      <c r="E15" s="385" t="s">
        <v>1119</v>
      </c>
      <c r="F15" s="389">
        <v>98125.62</v>
      </c>
      <c r="G15" s="501">
        <v>50087.3</v>
      </c>
      <c r="H15" s="501">
        <v>84904.2</v>
      </c>
      <c r="I15" s="501">
        <v>99235.199999999997</v>
      </c>
      <c r="J15" s="501">
        <v>77770.600000000006</v>
      </c>
    </row>
    <row r="16" spans="1:10" s="394" customFormat="1" ht="25.5">
      <c r="A16" s="408"/>
      <c r="B16" s="373">
        <v>1041</v>
      </c>
      <c r="C16" s="392" t="s">
        <v>333</v>
      </c>
      <c r="D16" s="392"/>
      <c r="E16" s="393" t="s">
        <v>383</v>
      </c>
      <c r="F16" s="388">
        <f>+F17</f>
        <v>3000</v>
      </c>
      <c r="G16" s="500">
        <f>+G17</f>
        <v>8133.4</v>
      </c>
      <c r="H16" s="500">
        <f>+H17</f>
        <v>8133.4</v>
      </c>
      <c r="I16" s="500">
        <f>+I17</f>
        <v>8133.4</v>
      </c>
      <c r="J16" s="500">
        <f>+J17</f>
        <v>8133.4</v>
      </c>
    </row>
    <row r="17" spans="1:10" s="397" customFormat="1">
      <c r="A17" s="395"/>
      <c r="B17" s="396"/>
      <c r="C17" s="385"/>
      <c r="D17" s="385">
        <v>4639</v>
      </c>
      <c r="E17" s="385" t="s">
        <v>1119</v>
      </c>
      <c r="F17" s="389">
        <v>3000</v>
      </c>
      <c r="G17" s="501">
        <v>8133.4</v>
      </c>
      <c r="H17" s="501">
        <v>8133.4</v>
      </c>
      <c r="I17" s="501">
        <v>8133.4</v>
      </c>
      <c r="J17" s="501">
        <v>8133.4</v>
      </c>
    </row>
    <row r="18" spans="1:10" s="394" customFormat="1" outlineLevel="1">
      <c r="A18" s="408"/>
      <c r="B18" s="373">
        <v>1041</v>
      </c>
      <c r="C18" s="392" t="s">
        <v>117</v>
      </c>
      <c r="D18" s="392"/>
      <c r="E18" s="393" t="s">
        <v>384</v>
      </c>
      <c r="F18" s="388">
        <v>5019.1000000000004</v>
      </c>
      <c r="G18" s="500">
        <v>0</v>
      </c>
      <c r="H18" s="500">
        <v>0</v>
      </c>
      <c r="I18" s="500">
        <v>0</v>
      </c>
      <c r="J18" s="500">
        <v>0</v>
      </c>
    </row>
    <row r="19" spans="1:10" s="394" customFormat="1">
      <c r="A19" s="408"/>
      <c r="B19" s="373">
        <v>1041</v>
      </c>
      <c r="C19" s="392" t="s">
        <v>119</v>
      </c>
      <c r="D19" s="392"/>
      <c r="E19" s="393" t="s">
        <v>385</v>
      </c>
      <c r="F19" s="388">
        <f>+F20</f>
        <v>159049.80000000002</v>
      </c>
      <c r="G19" s="500">
        <f>+G20</f>
        <v>159049.79999999999</v>
      </c>
      <c r="H19" s="500">
        <f>+H20</f>
        <v>161782.79999999999</v>
      </c>
      <c r="I19" s="500">
        <f>+I20</f>
        <v>161782.79999999999</v>
      </c>
      <c r="J19" s="500">
        <f>+J20</f>
        <v>161782.79999999999</v>
      </c>
    </row>
    <row r="20" spans="1:10" s="397" customFormat="1">
      <c r="A20" s="395"/>
      <c r="B20" s="396"/>
      <c r="C20" s="385"/>
      <c r="D20" s="385">
        <v>4639</v>
      </c>
      <c r="E20" s="385" t="s">
        <v>1119</v>
      </c>
      <c r="F20" s="389">
        <v>159049.80000000002</v>
      </c>
      <c r="G20" s="501">
        <v>159049.79999999999</v>
      </c>
      <c r="H20" s="501">
        <v>161782.79999999999</v>
      </c>
      <c r="I20" s="501">
        <v>161782.79999999999</v>
      </c>
      <c r="J20" s="501">
        <v>161782.79999999999</v>
      </c>
    </row>
    <row r="21" spans="1:10" s="394" customFormat="1" ht="38.25" outlineLevel="1">
      <c r="A21" s="408"/>
      <c r="B21" s="373">
        <v>1041</v>
      </c>
      <c r="C21" s="392">
        <v>11009</v>
      </c>
      <c r="D21" s="392"/>
      <c r="E21" s="393" t="s">
        <v>386</v>
      </c>
      <c r="F21" s="388">
        <v>0</v>
      </c>
      <c r="G21" s="500">
        <v>12715.8</v>
      </c>
      <c r="H21" s="500">
        <v>0</v>
      </c>
      <c r="I21" s="500">
        <v>0</v>
      </c>
      <c r="J21" s="500">
        <v>0</v>
      </c>
    </row>
    <row r="22" spans="1:10" s="394" customFormat="1" ht="38.25">
      <c r="A22" s="408"/>
      <c r="B22" s="373">
        <v>1041</v>
      </c>
      <c r="C22" s="392">
        <v>11010</v>
      </c>
      <c r="D22" s="392"/>
      <c r="E22" s="393" t="s">
        <v>387</v>
      </c>
      <c r="F22" s="388">
        <f>+F23</f>
        <v>0</v>
      </c>
      <c r="G22" s="500">
        <f>+G23</f>
        <v>100726.8</v>
      </c>
      <c r="H22" s="500">
        <f>+H23</f>
        <v>0</v>
      </c>
      <c r="I22" s="500">
        <f>+I23</f>
        <v>0</v>
      </c>
      <c r="J22" s="500">
        <f>+J23</f>
        <v>0</v>
      </c>
    </row>
    <row r="23" spans="1:10" s="397" customFormat="1">
      <c r="A23" s="395"/>
      <c r="B23" s="396"/>
      <c r="C23" s="385"/>
      <c r="D23" s="385">
        <v>4639</v>
      </c>
      <c r="E23" s="385" t="s">
        <v>1119</v>
      </c>
      <c r="F23" s="389">
        <v>0</v>
      </c>
      <c r="G23" s="501">
        <v>100726.8</v>
      </c>
      <c r="H23" s="501">
        <v>0</v>
      </c>
      <c r="I23" s="501">
        <v>0</v>
      </c>
      <c r="J23" s="501">
        <v>0</v>
      </c>
    </row>
    <row r="24" spans="1:10" s="394" customFormat="1" ht="38.25">
      <c r="A24" s="408"/>
      <c r="B24" s="373">
        <v>1041</v>
      </c>
      <c r="C24" s="392">
        <v>11011</v>
      </c>
      <c r="D24" s="392"/>
      <c r="E24" s="393" t="s">
        <v>388</v>
      </c>
      <c r="F24" s="388">
        <f>+F25</f>
        <v>96103.8</v>
      </c>
      <c r="G24" s="500">
        <f>+G25</f>
        <v>0</v>
      </c>
      <c r="H24" s="500">
        <f>+H25</f>
        <v>0</v>
      </c>
      <c r="I24" s="500">
        <f>+I25</f>
        <v>0</v>
      </c>
      <c r="J24" s="500">
        <f>+J25</f>
        <v>90288.6</v>
      </c>
    </row>
    <row r="25" spans="1:10" s="397" customFormat="1">
      <c r="A25" s="395"/>
      <c r="B25" s="396"/>
      <c r="C25" s="385"/>
      <c r="D25" s="385">
        <v>4639</v>
      </c>
      <c r="E25" s="385" t="s">
        <v>1119</v>
      </c>
      <c r="F25" s="389">
        <v>96103.8</v>
      </c>
      <c r="G25" s="501">
        <v>0</v>
      </c>
      <c r="H25" s="501">
        <v>0</v>
      </c>
      <c r="I25" s="501">
        <v>0</v>
      </c>
      <c r="J25" s="501">
        <v>90288.6</v>
      </c>
    </row>
    <row r="26" spans="1:10" s="394" customFormat="1" ht="38.25">
      <c r="A26" s="408"/>
      <c r="B26" s="373">
        <v>1041</v>
      </c>
      <c r="C26" s="392">
        <v>11012</v>
      </c>
      <c r="D26" s="392"/>
      <c r="E26" s="393" t="s">
        <v>389</v>
      </c>
      <c r="F26" s="388">
        <f>+F27</f>
        <v>75876.820000000007</v>
      </c>
      <c r="G26" s="500">
        <f>+G27</f>
        <v>0</v>
      </c>
      <c r="H26" s="500">
        <f>+H27</f>
        <v>77838.399999999994</v>
      </c>
      <c r="I26" s="500">
        <f>+I27</f>
        <v>0</v>
      </c>
      <c r="J26" s="500">
        <f>+J27</f>
        <v>89767.8</v>
      </c>
    </row>
    <row r="27" spans="1:10" s="397" customFormat="1">
      <c r="A27" s="395"/>
      <c r="B27" s="396"/>
      <c r="C27" s="385"/>
      <c r="D27" s="385">
        <v>4639</v>
      </c>
      <c r="E27" s="385" t="s">
        <v>1119</v>
      </c>
      <c r="F27" s="389">
        <v>75876.820000000007</v>
      </c>
      <c r="G27" s="501">
        <v>0</v>
      </c>
      <c r="H27" s="501">
        <v>77838.399999999994</v>
      </c>
      <c r="I27" s="501">
        <v>0</v>
      </c>
      <c r="J27" s="501">
        <v>89767.8</v>
      </c>
    </row>
    <row r="28" spans="1:10" s="394" customFormat="1" ht="38.25">
      <c r="A28" s="408"/>
      <c r="B28" s="373">
        <v>1041</v>
      </c>
      <c r="C28" s="392">
        <v>11019</v>
      </c>
      <c r="D28" s="392"/>
      <c r="E28" s="393" t="s">
        <v>390</v>
      </c>
      <c r="F28" s="388">
        <f>+F29</f>
        <v>0</v>
      </c>
      <c r="G28" s="500">
        <f>+G29</f>
        <v>0</v>
      </c>
      <c r="H28" s="500">
        <f>+H29</f>
        <v>0</v>
      </c>
      <c r="I28" s="500">
        <f>+I29</f>
        <v>41072.9</v>
      </c>
      <c r="J28" s="500">
        <f>+J29</f>
        <v>0</v>
      </c>
    </row>
    <row r="29" spans="1:10" s="397" customFormat="1">
      <c r="A29" s="395"/>
      <c r="B29" s="396"/>
      <c r="C29" s="385"/>
      <c r="D29" s="385">
        <v>4639</v>
      </c>
      <c r="E29" s="385" t="s">
        <v>1119</v>
      </c>
      <c r="F29" s="389">
        <v>0</v>
      </c>
      <c r="G29" s="501">
        <v>0</v>
      </c>
      <c r="H29" s="501">
        <v>0</v>
      </c>
      <c r="I29" s="501">
        <v>41072.9</v>
      </c>
      <c r="J29" s="501">
        <v>0</v>
      </c>
    </row>
    <row r="30" spans="1:10" s="394" customFormat="1" ht="38.25">
      <c r="A30" s="408"/>
      <c r="B30" s="373">
        <v>1041</v>
      </c>
      <c r="C30" s="392">
        <v>11020</v>
      </c>
      <c r="D30" s="392"/>
      <c r="E30" s="393" t="s">
        <v>391</v>
      </c>
      <c r="F30" s="388">
        <f>+F31</f>
        <v>0</v>
      </c>
      <c r="G30" s="500">
        <f>+G31</f>
        <v>0</v>
      </c>
      <c r="H30" s="500">
        <f>+H31</f>
        <v>0</v>
      </c>
      <c r="I30" s="500">
        <f>+I31</f>
        <v>40081</v>
      </c>
      <c r="J30" s="500">
        <f>+J31</f>
        <v>0</v>
      </c>
    </row>
    <row r="31" spans="1:10" s="397" customFormat="1">
      <c r="A31" s="395"/>
      <c r="B31" s="396"/>
      <c r="C31" s="385"/>
      <c r="D31" s="385">
        <v>4639</v>
      </c>
      <c r="E31" s="385" t="s">
        <v>1119</v>
      </c>
      <c r="F31" s="389">
        <v>0</v>
      </c>
      <c r="G31" s="501">
        <v>0</v>
      </c>
      <c r="H31" s="501">
        <v>0</v>
      </c>
      <c r="I31" s="501">
        <v>40081</v>
      </c>
      <c r="J31" s="501">
        <v>0</v>
      </c>
    </row>
    <row r="32" spans="1:10" s="394" customFormat="1" ht="89.25">
      <c r="A32" s="408"/>
      <c r="B32" s="373">
        <v>1041</v>
      </c>
      <c r="C32" s="392">
        <v>11021</v>
      </c>
      <c r="D32" s="392"/>
      <c r="E32" s="393" t="s">
        <v>392</v>
      </c>
      <c r="F32" s="388">
        <f>+F33</f>
        <v>77663.42</v>
      </c>
      <c r="G32" s="500">
        <f>+G33</f>
        <v>0</v>
      </c>
      <c r="H32" s="500">
        <f>+H33</f>
        <v>0</v>
      </c>
      <c r="I32" s="500">
        <f>+I33</f>
        <v>0</v>
      </c>
      <c r="J32" s="500">
        <f>+J33</f>
        <v>0</v>
      </c>
    </row>
    <row r="33" spans="1:10" s="397" customFormat="1">
      <c r="A33" s="395"/>
      <c r="B33" s="396"/>
      <c r="C33" s="385"/>
      <c r="D33" s="385">
        <v>4200</v>
      </c>
      <c r="E33" s="385" t="s">
        <v>1120</v>
      </c>
      <c r="F33" s="389">
        <v>77663.42</v>
      </c>
      <c r="G33" s="501">
        <v>0</v>
      </c>
      <c r="H33" s="501">
        <v>0</v>
      </c>
      <c r="I33" s="501">
        <v>0</v>
      </c>
      <c r="J33" s="501">
        <v>0</v>
      </c>
    </row>
    <row r="34" spans="1:10" s="394" customFormat="1" ht="38.25">
      <c r="A34" s="408"/>
      <c r="B34" s="373">
        <v>1041</v>
      </c>
      <c r="C34" s="392">
        <v>11022</v>
      </c>
      <c r="D34" s="392"/>
      <c r="E34" s="393" t="s">
        <v>393</v>
      </c>
      <c r="F34" s="388">
        <f>+F35</f>
        <v>30980.84</v>
      </c>
      <c r="G34" s="500">
        <f>+G35</f>
        <v>0</v>
      </c>
      <c r="H34" s="500">
        <f>+H35</f>
        <v>0</v>
      </c>
      <c r="I34" s="500">
        <f>+I35</f>
        <v>0</v>
      </c>
      <c r="J34" s="500">
        <f>+J35</f>
        <v>0</v>
      </c>
    </row>
    <row r="35" spans="1:10" s="397" customFormat="1">
      <c r="A35" s="395"/>
      <c r="B35" s="396"/>
      <c r="C35" s="385" t="s">
        <v>1186</v>
      </c>
      <c r="D35" s="385">
        <v>4639</v>
      </c>
      <c r="E35" s="385" t="s">
        <v>1119</v>
      </c>
      <c r="F35" s="389">
        <v>30980.84</v>
      </c>
      <c r="G35" s="501">
        <v>0</v>
      </c>
      <c r="H35" s="501">
        <v>0</v>
      </c>
      <c r="I35" s="501">
        <v>0</v>
      </c>
      <c r="J35" s="501">
        <v>0</v>
      </c>
    </row>
    <row r="36" spans="1:10" s="394" customFormat="1" ht="25.5">
      <c r="A36" s="408"/>
      <c r="B36" s="373">
        <v>1041</v>
      </c>
      <c r="C36" s="392">
        <v>11026</v>
      </c>
      <c r="D36" s="392"/>
      <c r="E36" s="393" t="s">
        <v>394</v>
      </c>
      <c r="F36" s="388">
        <f>+F37</f>
        <v>88426.400000000009</v>
      </c>
      <c r="G36" s="500">
        <f>+G37</f>
        <v>88426.4</v>
      </c>
      <c r="H36" s="500">
        <f>+H37</f>
        <v>100807.4</v>
      </c>
      <c r="I36" s="500">
        <f>+I37</f>
        <v>100807.4</v>
      </c>
      <c r="J36" s="500">
        <f>+J37</f>
        <v>100807.4</v>
      </c>
    </row>
    <row r="37" spans="1:10" s="397" customFormat="1" ht="38.25">
      <c r="A37" s="395"/>
      <c r="B37" s="396"/>
      <c r="C37" s="385"/>
      <c r="D37" s="385">
        <v>4637</v>
      </c>
      <c r="E37" s="385" t="s">
        <v>1121</v>
      </c>
      <c r="F37" s="389">
        <v>88426.400000000009</v>
      </c>
      <c r="G37" s="501">
        <v>88426.4</v>
      </c>
      <c r="H37" s="501">
        <v>100807.4</v>
      </c>
      <c r="I37" s="501">
        <v>100807.4</v>
      </c>
      <c r="J37" s="501">
        <v>100807.4</v>
      </c>
    </row>
    <row r="38" spans="1:10" s="394" customFormat="1" ht="51">
      <c r="A38" s="408"/>
      <c r="B38" s="373">
        <v>1041</v>
      </c>
      <c r="C38" s="392">
        <v>11030</v>
      </c>
      <c r="D38" s="392"/>
      <c r="E38" s="393" t="s">
        <v>395</v>
      </c>
      <c r="F38" s="388">
        <f>+F39</f>
        <v>36355.93</v>
      </c>
      <c r="G38" s="500">
        <f>+G39</f>
        <v>40000</v>
      </c>
      <c r="H38" s="500">
        <f>+H39</f>
        <v>40000</v>
      </c>
      <c r="I38" s="500">
        <f>+I39</f>
        <v>40000</v>
      </c>
      <c r="J38" s="500">
        <f>+J39</f>
        <v>40000</v>
      </c>
    </row>
    <row r="39" spans="1:10" s="397" customFormat="1">
      <c r="A39" s="395"/>
      <c r="B39" s="396"/>
      <c r="C39" s="385"/>
      <c r="D39" s="385">
        <v>4639</v>
      </c>
      <c r="E39" s="385" t="s">
        <v>1119</v>
      </c>
      <c r="F39" s="389">
        <v>36355.93</v>
      </c>
      <c r="G39" s="501">
        <v>40000</v>
      </c>
      <c r="H39" s="501">
        <v>40000</v>
      </c>
      <c r="I39" s="501">
        <v>40000</v>
      </c>
      <c r="J39" s="501">
        <v>40000</v>
      </c>
    </row>
    <row r="40" spans="1:10" s="394" customFormat="1" ht="25.5">
      <c r="A40" s="408"/>
      <c r="B40" s="373">
        <v>1041</v>
      </c>
      <c r="C40" s="392">
        <v>11031</v>
      </c>
      <c r="D40" s="392"/>
      <c r="E40" s="393" t="s">
        <v>396</v>
      </c>
      <c r="F40" s="388">
        <f>+F41</f>
        <v>4000</v>
      </c>
      <c r="G40" s="500">
        <f>+G41</f>
        <v>4000</v>
      </c>
      <c r="H40" s="500">
        <f>+H41</f>
        <v>4000</v>
      </c>
      <c r="I40" s="500">
        <f>+I41</f>
        <v>4000</v>
      </c>
      <c r="J40" s="500">
        <f>+J41</f>
        <v>4000</v>
      </c>
    </row>
    <row r="41" spans="1:10" s="397" customFormat="1">
      <c r="A41" s="395"/>
      <c r="B41" s="396"/>
      <c r="C41" s="385"/>
      <c r="D41" s="385">
        <v>4639</v>
      </c>
      <c r="E41" s="385" t="s">
        <v>1119</v>
      </c>
      <c r="F41" s="389">
        <v>4000</v>
      </c>
      <c r="G41" s="501">
        <v>4000</v>
      </c>
      <c r="H41" s="501">
        <v>4000</v>
      </c>
      <c r="I41" s="501">
        <v>4000</v>
      </c>
      <c r="J41" s="501">
        <v>4000</v>
      </c>
    </row>
    <row r="42" spans="1:10" s="394" customFormat="1" ht="25.5" outlineLevel="1">
      <c r="A42" s="408"/>
      <c r="B42" s="373">
        <v>1041</v>
      </c>
      <c r="C42" s="392">
        <v>11035</v>
      </c>
      <c r="D42" s="392"/>
      <c r="E42" s="393" t="s">
        <v>1228</v>
      </c>
      <c r="F42" s="388">
        <v>24743.5</v>
      </c>
      <c r="G42" s="500">
        <v>0</v>
      </c>
      <c r="H42" s="500">
        <v>0</v>
      </c>
      <c r="I42" s="500">
        <v>0</v>
      </c>
      <c r="J42" s="500">
        <v>0</v>
      </c>
    </row>
    <row r="43" spans="1:10" s="394" customFormat="1" ht="38.25">
      <c r="A43" s="408"/>
      <c r="B43" s="373">
        <v>1041</v>
      </c>
      <c r="C43" s="392">
        <v>11036</v>
      </c>
      <c r="D43" s="392"/>
      <c r="E43" s="393" t="s">
        <v>398</v>
      </c>
      <c r="F43" s="388">
        <f>+F44</f>
        <v>41556.300000000003</v>
      </c>
      <c r="G43" s="500">
        <f>+G44</f>
        <v>0</v>
      </c>
      <c r="H43" s="500">
        <f>+H44</f>
        <v>47998.400000000001</v>
      </c>
      <c r="I43" s="500">
        <f>+I44</f>
        <v>0</v>
      </c>
      <c r="J43" s="500">
        <f>+J44</f>
        <v>0</v>
      </c>
    </row>
    <row r="44" spans="1:10" s="397" customFormat="1">
      <c r="A44" s="395"/>
      <c r="B44" s="396"/>
      <c r="C44" s="385"/>
      <c r="D44" s="385">
        <v>4639</v>
      </c>
      <c r="E44" s="385" t="s">
        <v>1119</v>
      </c>
      <c r="F44" s="389">
        <v>41556.300000000003</v>
      </c>
      <c r="G44" s="501">
        <v>0</v>
      </c>
      <c r="H44" s="501">
        <v>47998.400000000001</v>
      </c>
      <c r="I44" s="501">
        <v>0</v>
      </c>
      <c r="J44" s="503">
        <v>0</v>
      </c>
    </row>
    <row r="45" spans="1:10" s="394" customFormat="1" ht="25.5">
      <c r="A45" s="408"/>
      <c r="B45" s="373">
        <v>1041</v>
      </c>
      <c r="C45" s="392">
        <v>11037</v>
      </c>
      <c r="D45" s="392"/>
      <c r="E45" s="393" t="s">
        <v>1229</v>
      </c>
      <c r="F45" s="388">
        <f>+F46</f>
        <v>1215671.67</v>
      </c>
      <c r="G45" s="500">
        <f>+G46</f>
        <v>0</v>
      </c>
      <c r="H45" s="500">
        <f>+H46</f>
        <v>0</v>
      </c>
      <c r="I45" s="500">
        <f>+I46</f>
        <v>0</v>
      </c>
      <c r="J45" s="500">
        <f>+J46</f>
        <v>0</v>
      </c>
    </row>
    <row r="46" spans="1:10" s="397" customFormat="1">
      <c r="A46" s="395"/>
      <c r="B46" s="396"/>
      <c r="C46" s="385"/>
      <c r="D46" s="385">
        <v>4639</v>
      </c>
      <c r="E46" s="385" t="s">
        <v>1119</v>
      </c>
      <c r="F46" s="389">
        <v>1215671.67</v>
      </c>
      <c r="G46" s="501">
        <v>0</v>
      </c>
      <c r="H46" s="501">
        <v>0</v>
      </c>
      <c r="I46" s="501">
        <v>0</v>
      </c>
      <c r="J46" s="503"/>
    </row>
    <row r="47" spans="1:10" s="394" customFormat="1" ht="51" outlineLevel="1">
      <c r="A47" s="408"/>
      <c r="B47" s="373">
        <v>1041</v>
      </c>
      <c r="C47" s="392">
        <v>11041</v>
      </c>
      <c r="D47" s="392"/>
      <c r="E47" s="393" t="s">
        <v>400</v>
      </c>
      <c r="F47" s="388">
        <v>1050082.2</v>
      </c>
      <c r="G47" s="500">
        <v>0</v>
      </c>
      <c r="H47" s="500">
        <v>0</v>
      </c>
      <c r="I47" s="500">
        <v>0</v>
      </c>
      <c r="J47" s="511">
        <v>0</v>
      </c>
    </row>
    <row r="48" spans="1:10" s="394" customFormat="1" ht="25.5" outlineLevel="1">
      <c r="A48" s="408"/>
      <c r="B48" s="373">
        <v>1041</v>
      </c>
      <c r="C48" s="392">
        <v>11042</v>
      </c>
      <c r="D48" s="392"/>
      <c r="E48" s="393" t="s">
        <v>401</v>
      </c>
      <c r="F48" s="388">
        <v>733459.6</v>
      </c>
      <c r="G48" s="500">
        <v>0</v>
      </c>
      <c r="H48" s="500">
        <v>0</v>
      </c>
      <c r="I48" s="500">
        <v>0</v>
      </c>
      <c r="J48" s="511">
        <v>0</v>
      </c>
    </row>
    <row r="49" spans="1:10" s="394" customFormat="1" ht="25.5">
      <c r="A49" s="408"/>
      <c r="B49" s="373">
        <v>1041</v>
      </c>
      <c r="C49" s="392">
        <v>11043</v>
      </c>
      <c r="D49" s="392"/>
      <c r="E49" s="393" t="s">
        <v>1184</v>
      </c>
      <c r="F49" s="388">
        <f>+F50</f>
        <v>0</v>
      </c>
      <c r="G49" s="500">
        <f>+G50</f>
        <v>25000</v>
      </c>
      <c r="H49" s="500">
        <f>+H50</f>
        <v>36650</v>
      </c>
      <c r="I49" s="500">
        <f>+I50</f>
        <v>50000</v>
      </c>
      <c r="J49" s="500">
        <f>+J50</f>
        <v>50000</v>
      </c>
    </row>
    <row r="50" spans="1:10" s="397" customFormat="1">
      <c r="A50" s="395"/>
      <c r="B50" s="396"/>
      <c r="C50" s="385"/>
      <c r="D50" s="385">
        <v>4200</v>
      </c>
      <c r="E50" s="385" t="s">
        <v>1120</v>
      </c>
      <c r="F50" s="389">
        <v>0</v>
      </c>
      <c r="G50" s="501">
        <v>25000</v>
      </c>
      <c r="H50" s="501">
        <v>36650</v>
      </c>
      <c r="I50" s="501">
        <v>50000</v>
      </c>
      <c r="J50" s="503">
        <v>50000</v>
      </c>
    </row>
    <row r="51" spans="1:10" s="394" customFormat="1" ht="25.5" outlineLevel="1">
      <c r="A51" s="408"/>
      <c r="B51" s="373">
        <v>1041</v>
      </c>
      <c r="C51" s="392">
        <v>11044</v>
      </c>
      <c r="D51" s="392"/>
      <c r="E51" s="393" t="s">
        <v>403</v>
      </c>
      <c r="F51" s="388">
        <v>338263.8</v>
      </c>
      <c r="G51" s="500">
        <v>0</v>
      </c>
      <c r="H51" s="500">
        <v>0</v>
      </c>
      <c r="I51" s="500">
        <v>0</v>
      </c>
      <c r="J51" s="511">
        <v>0</v>
      </c>
    </row>
    <row r="52" spans="1:10" s="394" customFormat="1" ht="38.25">
      <c r="A52" s="408"/>
      <c r="B52" s="373">
        <v>1041</v>
      </c>
      <c r="C52" s="392" t="s">
        <v>404</v>
      </c>
      <c r="D52" s="392"/>
      <c r="E52" s="393" t="s">
        <v>405</v>
      </c>
      <c r="F52" s="388">
        <f>+F53</f>
        <v>648531.52</v>
      </c>
      <c r="G52" s="500">
        <f>+G53</f>
        <v>461000</v>
      </c>
      <c r="H52" s="500">
        <f>+H53</f>
        <v>461000</v>
      </c>
      <c r="I52" s="500">
        <f>+I53</f>
        <v>461000</v>
      </c>
      <c r="J52" s="500">
        <f>+J53</f>
        <v>461000</v>
      </c>
    </row>
    <row r="53" spans="1:10" s="397" customFormat="1" ht="25.5">
      <c r="A53" s="395"/>
      <c r="B53" s="396"/>
      <c r="C53" s="385"/>
      <c r="D53" s="385">
        <v>4727</v>
      </c>
      <c r="E53" s="385" t="s">
        <v>1122</v>
      </c>
      <c r="F53" s="389">
        <v>648531.52</v>
      </c>
      <c r="G53" s="501">
        <v>461000</v>
      </c>
      <c r="H53" s="501">
        <v>461000</v>
      </c>
      <c r="I53" s="501">
        <v>461000</v>
      </c>
      <c r="J53" s="503">
        <v>461000</v>
      </c>
    </row>
    <row r="54" spans="1:10" s="394" customFormat="1" ht="63.75">
      <c r="A54" s="408"/>
      <c r="B54" s="373">
        <v>1041</v>
      </c>
      <c r="C54" s="392" t="s">
        <v>406</v>
      </c>
      <c r="D54" s="392"/>
      <c r="E54" s="393" t="s">
        <v>407</v>
      </c>
      <c r="F54" s="388">
        <f>+F55</f>
        <v>181417.2</v>
      </c>
      <c r="G54" s="500">
        <f>+G55</f>
        <v>187677.6</v>
      </c>
      <c r="H54" s="500">
        <f>+H55</f>
        <v>187677.6</v>
      </c>
      <c r="I54" s="500">
        <f>+I55</f>
        <v>187677.6</v>
      </c>
      <c r="J54" s="500">
        <f>+J55</f>
        <v>187677.6</v>
      </c>
    </row>
    <row r="55" spans="1:10" s="397" customFormat="1" ht="25.5">
      <c r="A55" s="395"/>
      <c r="B55" s="396"/>
      <c r="C55" s="385"/>
      <c r="D55" s="385">
        <v>4727</v>
      </c>
      <c r="E55" s="385" t="s">
        <v>1122</v>
      </c>
      <c r="F55" s="389">
        <v>181417.2</v>
      </c>
      <c r="G55" s="501">
        <v>187677.6</v>
      </c>
      <c r="H55" s="501">
        <v>187677.6</v>
      </c>
      <c r="I55" s="501">
        <v>187677.6</v>
      </c>
      <c r="J55" s="503">
        <v>187677.6</v>
      </c>
    </row>
    <row r="56" spans="1:10" s="394" customFormat="1" ht="51">
      <c r="A56" s="408"/>
      <c r="B56" s="373">
        <v>1041</v>
      </c>
      <c r="C56" s="392" t="s">
        <v>408</v>
      </c>
      <c r="D56" s="392"/>
      <c r="E56" s="393" t="s">
        <v>409</v>
      </c>
      <c r="F56" s="388">
        <f>+F57</f>
        <v>736772.23</v>
      </c>
      <c r="G56" s="500">
        <f>+G57</f>
        <v>735918.8</v>
      </c>
      <c r="H56" s="500">
        <f>+H57</f>
        <v>1007400</v>
      </c>
      <c r="I56" s="500">
        <f>+I57</f>
        <v>1007400</v>
      </c>
      <c r="J56" s="500">
        <f t="shared" ref="J56" si="1">+J57</f>
        <v>1007400</v>
      </c>
    </row>
    <row r="57" spans="1:10" s="397" customFormat="1" ht="25.5">
      <c r="A57" s="395"/>
      <c r="B57" s="396"/>
      <c r="C57" s="385"/>
      <c r="D57" s="385">
        <v>4727</v>
      </c>
      <c r="E57" s="385" t="s">
        <v>1122</v>
      </c>
      <c r="F57" s="389">
        <v>736772.23</v>
      </c>
      <c r="G57" s="501">
        <v>735918.8</v>
      </c>
      <c r="H57" s="501">
        <v>1007400</v>
      </c>
      <c r="I57" s="501">
        <v>1007400</v>
      </c>
      <c r="J57" s="501">
        <v>1007400</v>
      </c>
    </row>
    <row r="58" spans="1:10" s="394" customFormat="1" ht="38.25">
      <c r="A58" s="408"/>
      <c r="B58" s="373">
        <v>1041</v>
      </c>
      <c r="C58" s="392" t="s">
        <v>410</v>
      </c>
      <c r="D58" s="392"/>
      <c r="E58" s="393" t="s">
        <v>1201</v>
      </c>
      <c r="F58" s="388">
        <f>+F59+F60</f>
        <v>63690</v>
      </c>
      <c r="G58" s="500">
        <f>+G59+G60</f>
        <v>64435.1</v>
      </c>
      <c r="H58" s="500">
        <v>84600</v>
      </c>
      <c r="I58" s="500">
        <v>84600</v>
      </c>
      <c r="J58" s="500">
        <v>84600</v>
      </c>
    </row>
    <row r="59" spans="1:10" s="397" customFormat="1" ht="25.5">
      <c r="A59" s="395"/>
      <c r="B59" s="396"/>
      <c r="C59" s="385"/>
      <c r="D59" s="385">
        <v>4727</v>
      </c>
      <c r="E59" s="385" t="s">
        <v>1122</v>
      </c>
      <c r="F59" s="389">
        <v>62500</v>
      </c>
      <c r="G59" s="501">
        <v>62500</v>
      </c>
      <c r="H59" s="501">
        <v>62500</v>
      </c>
      <c r="I59" s="501">
        <v>62500</v>
      </c>
      <c r="J59" s="501">
        <v>62500</v>
      </c>
    </row>
    <row r="60" spans="1:10" s="397" customFormat="1">
      <c r="A60" s="395"/>
      <c r="B60" s="396"/>
      <c r="C60" s="385"/>
      <c r="D60" s="385">
        <v>4200</v>
      </c>
      <c r="E60" s="385" t="s">
        <v>1170</v>
      </c>
      <c r="F60" s="389">
        <v>1190</v>
      </c>
      <c r="G60" s="501">
        <v>1935.1</v>
      </c>
      <c r="H60" s="501">
        <v>20425</v>
      </c>
      <c r="I60" s="501">
        <v>20425</v>
      </c>
      <c r="J60" s="501">
        <v>20425</v>
      </c>
    </row>
    <row r="61" spans="1:10" s="394" customFormat="1" ht="51">
      <c r="A61" s="408"/>
      <c r="B61" s="373">
        <v>1041</v>
      </c>
      <c r="C61" s="392">
        <v>12007</v>
      </c>
      <c r="D61" s="392"/>
      <c r="E61" s="393" t="s">
        <v>412</v>
      </c>
      <c r="F61" s="388">
        <f>+F62</f>
        <v>566564.65</v>
      </c>
      <c r="G61" s="500">
        <f>+G62</f>
        <v>297062.5</v>
      </c>
      <c r="H61" s="500">
        <f>+H62</f>
        <v>0</v>
      </c>
      <c r="I61" s="500">
        <f>+I62</f>
        <v>0</v>
      </c>
      <c r="J61" s="500">
        <f>+J62</f>
        <v>0</v>
      </c>
    </row>
    <row r="62" spans="1:10" s="397" customFormat="1" ht="25.5">
      <c r="A62" s="395"/>
      <c r="B62" s="396"/>
      <c r="C62" s="385"/>
      <c r="D62" s="385">
        <v>4727</v>
      </c>
      <c r="E62" s="385" t="s">
        <v>1122</v>
      </c>
      <c r="F62" s="389">
        <v>566564.65</v>
      </c>
      <c r="G62" s="501">
        <v>297062.5</v>
      </c>
      <c r="H62" s="501">
        <v>0</v>
      </c>
      <c r="I62" s="501">
        <v>0</v>
      </c>
      <c r="J62" s="501">
        <v>0</v>
      </c>
    </row>
    <row r="63" spans="1:10" s="394" customFormat="1" ht="38.25" outlineLevel="1">
      <c r="A63" s="408"/>
      <c r="B63" s="373">
        <v>1041</v>
      </c>
      <c r="C63" s="542" t="s">
        <v>413</v>
      </c>
      <c r="D63" s="392"/>
      <c r="E63" s="393" t="s">
        <v>1230</v>
      </c>
      <c r="F63" s="388">
        <f>+F64</f>
        <v>0</v>
      </c>
      <c r="G63" s="500">
        <f>+G64</f>
        <v>0</v>
      </c>
      <c r="H63" s="500">
        <f>+H64</f>
        <v>217740</v>
      </c>
      <c r="I63" s="500">
        <f>+I64</f>
        <v>0</v>
      </c>
      <c r="J63" s="500">
        <f>+J64</f>
        <v>0</v>
      </c>
    </row>
    <row r="64" spans="1:10" s="397" customFormat="1" outlineLevel="1">
      <c r="A64" s="395"/>
      <c r="B64" s="396"/>
      <c r="C64" s="385"/>
      <c r="D64" s="385"/>
      <c r="E64" s="385" t="s">
        <v>1119</v>
      </c>
      <c r="F64" s="389">
        <v>0</v>
      </c>
      <c r="G64" s="501">
        <v>0</v>
      </c>
      <c r="H64" s="501">
        <v>217740</v>
      </c>
      <c r="I64" s="501">
        <v>0</v>
      </c>
      <c r="J64" s="503">
        <v>0</v>
      </c>
    </row>
    <row r="65" spans="1:10" s="394" customFormat="1" ht="25.5" outlineLevel="1">
      <c r="A65" s="408"/>
      <c r="B65" s="373">
        <v>1041</v>
      </c>
      <c r="C65" s="542" t="s">
        <v>413</v>
      </c>
      <c r="D65" s="392"/>
      <c r="E65" s="393" t="s">
        <v>1175</v>
      </c>
      <c r="F65" s="388">
        <f>+F66</f>
        <v>0</v>
      </c>
      <c r="G65" s="500">
        <f>+G66</f>
        <v>0</v>
      </c>
      <c r="H65" s="500">
        <f>+H66</f>
        <v>4000</v>
      </c>
      <c r="I65" s="500">
        <f>+I66</f>
        <v>0</v>
      </c>
      <c r="J65" s="500">
        <f>+J66</f>
        <v>0</v>
      </c>
    </row>
    <row r="66" spans="1:10" s="397" customFormat="1" outlineLevel="1">
      <c r="A66" s="395"/>
      <c r="B66" s="396"/>
      <c r="C66" s="385"/>
      <c r="D66" s="385"/>
      <c r="E66" s="385" t="s">
        <v>1170</v>
      </c>
      <c r="F66" s="389">
        <v>0</v>
      </c>
      <c r="G66" s="501">
        <v>0</v>
      </c>
      <c r="H66" s="501">
        <v>4000</v>
      </c>
      <c r="I66" s="501">
        <v>0</v>
      </c>
      <c r="J66" s="503">
        <v>0</v>
      </c>
    </row>
    <row r="67" spans="1:10" s="394" customFormat="1" ht="38.25" outlineLevel="1">
      <c r="A67" s="408"/>
      <c r="B67" s="373">
        <v>1041</v>
      </c>
      <c r="C67" s="542" t="s">
        <v>413</v>
      </c>
      <c r="D67" s="392"/>
      <c r="E67" s="393" t="s">
        <v>1176</v>
      </c>
      <c r="F67" s="388">
        <f>+F68</f>
        <v>0</v>
      </c>
      <c r="G67" s="500">
        <f>+G68</f>
        <v>0</v>
      </c>
      <c r="H67" s="500">
        <f>+H68</f>
        <v>0</v>
      </c>
      <c r="I67" s="500">
        <f>+I68</f>
        <v>0</v>
      </c>
      <c r="J67" s="500">
        <f>+J68</f>
        <v>3413159.1</v>
      </c>
    </row>
    <row r="68" spans="1:10" s="397" customFormat="1" outlineLevel="1">
      <c r="A68" s="395"/>
      <c r="B68" s="396"/>
      <c r="C68" s="385"/>
      <c r="D68" s="385"/>
      <c r="E68" s="385" t="s">
        <v>1119</v>
      </c>
      <c r="F68" s="389">
        <v>0</v>
      </c>
      <c r="G68" s="501">
        <v>0</v>
      </c>
      <c r="H68" s="501">
        <v>0</v>
      </c>
      <c r="I68" s="501">
        <v>0</v>
      </c>
      <c r="J68" s="503">
        <v>3413159.1</v>
      </c>
    </row>
    <row r="69" spans="1:10" s="394" customFormat="1" ht="25.5" outlineLevel="1">
      <c r="A69" s="408"/>
      <c r="B69" s="373">
        <v>1041</v>
      </c>
      <c r="C69" s="542" t="s">
        <v>413</v>
      </c>
      <c r="D69" s="392"/>
      <c r="E69" s="393" t="s">
        <v>1231</v>
      </c>
      <c r="F69" s="388">
        <f>+F70</f>
        <v>0</v>
      </c>
      <c r="G69" s="500">
        <f>+G70</f>
        <v>0</v>
      </c>
      <c r="H69" s="500">
        <f>+H70</f>
        <v>2830990.9</v>
      </c>
      <c r="I69" s="500">
        <f>+I70</f>
        <v>1889542.6</v>
      </c>
      <c r="J69" s="500">
        <f>+J70</f>
        <v>1889542.6</v>
      </c>
    </row>
    <row r="70" spans="1:10" s="397" customFormat="1" outlineLevel="1">
      <c r="A70" s="395"/>
      <c r="B70" s="396"/>
      <c r="C70" s="385"/>
      <c r="D70" s="385"/>
      <c r="E70" s="385" t="s">
        <v>1119</v>
      </c>
      <c r="F70" s="389">
        <v>0</v>
      </c>
      <c r="G70" s="501">
        <v>0</v>
      </c>
      <c r="H70" s="501">
        <v>2830990.9</v>
      </c>
      <c r="I70" s="501">
        <v>1889542.6</v>
      </c>
      <c r="J70" s="501">
        <v>1889542.6</v>
      </c>
    </row>
    <row r="71" spans="1:10" s="394" customFormat="1" ht="25.5" outlineLevel="1">
      <c r="A71" s="408"/>
      <c r="B71" s="373">
        <v>1041</v>
      </c>
      <c r="C71" s="542" t="s">
        <v>413</v>
      </c>
      <c r="D71" s="392"/>
      <c r="E71" s="393" t="s">
        <v>1178</v>
      </c>
      <c r="F71" s="388">
        <f>+F72</f>
        <v>0</v>
      </c>
      <c r="G71" s="500">
        <f>+G72</f>
        <v>0</v>
      </c>
      <c r="H71" s="500">
        <f>+H72</f>
        <v>0</v>
      </c>
      <c r="I71" s="500">
        <f>+I72</f>
        <v>800000</v>
      </c>
      <c r="J71" s="500">
        <f>+J72</f>
        <v>0</v>
      </c>
    </row>
    <row r="72" spans="1:10" s="397" customFormat="1" outlineLevel="1">
      <c r="A72" s="395"/>
      <c r="B72" s="396"/>
      <c r="C72" s="385"/>
      <c r="D72" s="385"/>
      <c r="E72" s="385" t="s">
        <v>1119</v>
      </c>
      <c r="F72" s="389">
        <v>0</v>
      </c>
      <c r="G72" s="501">
        <v>0</v>
      </c>
      <c r="H72" s="501">
        <v>0</v>
      </c>
      <c r="I72" s="501">
        <v>800000</v>
      </c>
      <c r="J72" s="503">
        <v>0</v>
      </c>
    </row>
    <row r="73" spans="1:10" s="394" customFormat="1" ht="25.5" outlineLevel="1">
      <c r="A73" s="408"/>
      <c r="B73" s="373">
        <v>1041</v>
      </c>
      <c r="C73" s="542" t="s">
        <v>413</v>
      </c>
      <c r="D73" s="392"/>
      <c r="E73" s="393" t="s">
        <v>1177</v>
      </c>
      <c r="F73" s="388">
        <f>+F74</f>
        <v>0</v>
      </c>
      <c r="G73" s="500">
        <f>+G74</f>
        <v>0</v>
      </c>
      <c r="H73" s="500">
        <f>+H74</f>
        <v>1030080</v>
      </c>
      <c r="I73" s="500">
        <f>+I74</f>
        <v>0</v>
      </c>
      <c r="J73" s="500">
        <f>+J74</f>
        <v>0</v>
      </c>
    </row>
    <row r="74" spans="1:10" s="397" customFormat="1" outlineLevel="1">
      <c r="A74" s="395"/>
      <c r="B74" s="396"/>
      <c r="C74" s="385"/>
      <c r="D74" s="385"/>
      <c r="E74" s="385" t="s">
        <v>1119</v>
      </c>
      <c r="F74" s="389">
        <v>0</v>
      </c>
      <c r="G74" s="501">
        <v>0</v>
      </c>
      <c r="H74" s="501">
        <v>1030080</v>
      </c>
      <c r="I74" s="501">
        <v>0</v>
      </c>
      <c r="J74" s="503">
        <v>0</v>
      </c>
    </row>
    <row r="75" spans="1:10" s="394" customFormat="1" ht="25.5" outlineLevel="1">
      <c r="A75" s="408"/>
      <c r="B75" s="373">
        <v>1041</v>
      </c>
      <c r="C75" s="542" t="s">
        <v>413</v>
      </c>
      <c r="D75" s="392"/>
      <c r="E75" s="393" t="s">
        <v>428</v>
      </c>
      <c r="F75" s="388">
        <f>+F76</f>
        <v>0</v>
      </c>
      <c r="G75" s="500">
        <f>+G76</f>
        <v>0</v>
      </c>
      <c r="H75" s="500">
        <f>+H76</f>
        <v>0</v>
      </c>
      <c r="I75" s="500">
        <f>+I76</f>
        <v>1000008</v>
      </c>
      <c r="J75" s="500">
        <f>+J76</f>
        <v>0</v>
      </c>
    </row>
    <row r="76" spans="1:10" s="397" customFormat="1" outlineLevel="1">
      <c r="A76" s="395"/>
      <c r="B76" s="396"/>
      <c r="C76" s="385"/>
      <c r="D76" s="385"/>
      <c r="E76" s="385" t="s">
        <v>1119</v>
      </c>
      <c r="F76" s="389">
        <v>0</v>
      </c>
      <c r="G76" s="501">
        <v>0</v>
      </c>
      <c r="H76" s="501">
        <v>0</v>
      </c>
      <c r="I76" s="501">
        <v>1000008</v>
      </c>
      <c r="J76" s="503">
        <v>0</v>
      </c>
    </row>
    <row r="77" spans="1:10" s="394" customFormat="1" ht="51">
      <c r="A77" s="408"/>
      <c r="B77" s="420">
        <v>1041</v>
      </c>
      <c r="C77" s="415">
        <v>32001</v>
      </c>
      <c r="D77" s="415"/>
      <c r="E77" s="438" t="s">
        <v>1240</v>
      </c>
      <c r="F77" s="417">
        <f>+F78</f>
        <v>59524</v>
      </c>
      <c r="G77" s="522">
        <f>+G78</f>
        <v>300000</v>
      </c>
      <c r="H77" s="522">
        <f>+H78</f>
        <v>500000</v>
      </c>
      <c r="I77" s="522">
        <f>+I78</f>
        <v>500000</v>
      </c>
      <c r="J77" s="522">
        <f>+J78</f>
        <v>500000</v>
      </c>
    </row>
    <row r="78" spans="1:10" s="397" customFormat="1" ht="25.5">
      <c r="A78" s="395"/>
      <c r="B78" s="396"/>
      <c r="C78" s="385"/>
      <c r="D78" s="385">
        <v>5129</v>
      </c>
      <c r="E78" s="385" t="s">
        <v>1171</v>
      </c>
      <c r="F78" s="389">
        <v>59524</v>
      </c>
      <c r="G78" s="501">
        <v>300000</v>
      </c>
      <c r="H78" s="501">
        <v>500000</v>
      </c>
      <c r="I78" s="501">
        <v>500000</v>
      </c>
      <c r="J78" s="503">
        <v>500000</v>
      </c>
    </row>
    <row r="79" spans="1:10" s="394" customFormat="1" ht="25.5" outlineLevel="2">
      <c r="A79" s="408"/>
      <c r="B79" s="373">
        <v>1041</v>
      </c>
      <c r="C79" s="542" t="s">
        <v>413</v>
      </c>
      <c r="D79" s="538" t="s">
        <v>413</v>
      </c>
      <c r="E79" s="393" t="s">
        <v>1207</v>
      </c>
      <c r="F79" s="388">
        <f>+F80</f>
        <v>0</v>
      </c>
      <c r="G79" s="500">
        <f>+G80</f>
        <v>0</v>
      </c>
      <c r="H79" s="500">
        <f>+H80</f>
        <v>0</v>
      </c>
      <c r="I79" s="500">
        <f>+I80</f>
        <v>0</v>
      </c>
      <c r="J79" s="500">
        <f>+J80</f>
        <v>3071040.7</v>
      </c>
    </row>
    <row r="80" spans="1:10" s="397" customFormat="1" outlineLevel="2">
      <c r="A80" s="395"/>
      <c r="B80" s="396"/>
      <c r="C80" s="385"/>
      <c r="D80" s="385"/>
      <c r="E80" s="385" t="s">
        <v>1119</v>
      </c>
      <c r="F80" s="389"/>
      <c r="G80" s="501">
        <v>0</v>
      </c>
      <c r="H80" s="501">
        <v>0</v>
      </c>
      <c r="I80" s="501">
        <v>0</v>
      </c>
      <c r="J80" s="503">
        <v>3071040.7</v>
      </c>
    </row>
    <row r="81" spans="1:10" s="394" customFormat="1" ht="25.5" outlineLevel="2">
      <c r="A81" s="408"/>
      <c r="B81" s="373">
        <v>1041</v>
      </c>
      <c r="C81" s="542" t="s">
        <v>413</v>
      </c>
      <c r="D81" s="538" t="s">
        <v>413</v>
      </c>
      <c r="E81" s="393" t="s">
        <v>1180</v>
      </c>
      <c r="F81" s="388">
        <f>+F82</f>
        <v>0</v>
      </c>
      <c r="G81" s="500">
        <f>+G82</f>
        <v>0</v>
      </c>
      <c r="H81" s="500">
        <f>+H82</f>
        <v>0</v>
      </c>
      <c r="I81" s="500">
        <f>+I82</f>
        <v>0</v>
      </c>
      <c r="J81" s="500">
        <f>+J82</f>
        <v>11613095.199999999</v>
      </c>
    </row>
    <row r="82" spans="1:10" s="397" customFormat="1" outlineLevel="2">
      <c r="A82" s="395"/>
      <c r="B82" s="396"/>
      <c r="C82" s="385"/>
      <c r="D82" s="385"/>
      <c r="E82" s="385" t="s">
        <v>1120</v>
      </c>
      <c r="F82" s="389">
        <v>0</v>
      </c>
      <c r="G82" s="501">
        <v>0</v>
      </c>
      <c r="H82" s="501">
        <v>0</v>
      </c>
      <c r="I82" s="501">
        <v>0</v>
      </c>
      <c r="J82" s="503">
        <v>11613095.199999999</v>
      </c>
    </row>
    <row r="83" spans="1:10" s="394" customFormat="1" ht="25.5" outlineLevel="2">
      <c r="A83" s="408"/>
      <c r="B83" s="373">
        <v>1041</v>
      </c>
      <c r="C83" s="542" t="s">
        <v>413</v>
      </c>
      <c r="D83" s="538" t="s">
        <v>413</v>
      </c>
      <c r="E83" s="393" t="s">
        <v>1232</v>
      </c>
      <c r="F83" s="388">
        <f>+F84</f>
        <v>0</v>
      </c>
      <c r="G83" s="500">
        <f>+G84</f>
        <v>0</v>
      </c>
      <c r="H83" s="500">
        <f>+H84</f>
        <v>0</v>
      </c>
      <c r="I83" s="500">
        <f>+I84</f>
        <v>0</v>
      </c>
      <c r="J83" s="500">
        <f>+J84</f>
        <v>6000000</v>
      </c>
    </row>
    <row r="84" spans="1:10" s="397" customFormat="1" outlineLevel="2">
      <c r="A84" s="395"/>
      <c r="B84" s="396"/>
      <c r="C84" s="385"/>
      <c r="D84" s="385"/>
      <c r="E84" s="385" t="s">
        <v>1120</v>
      </c>
      <c r="F84" s="389">
        <v>0</v>
      </c>
      <c r="G84" s="501">
        <v>0</v>
      </c>
      <c r="H84" s="501"/>
      <c r="I84" s="501">
        <v>0</v>
      </c>
      <c r="J84" s="503">
        <v>6000000</v>
      </c>
    </row>
    <row r="85" spans="1:10" s="394" customFormat="1" ht="51" outlineLevel="2">
      <c r="A85" s="408"/>
      <c r="B85" s="373">
        <v>1041</v>
      </c>
      <c r="C85" s="542" t="s">
        <v>413</v>
      </c>
      <c r="D85" s="538" t="s">
        <v>413</v>
      </c>
      <c r="E85" s="393" t="s">
        <v>1181</v>
      </c>
      <c r="F85" s="388">
        <f>+F86</f>
        <v>0</v>
      </c>
      <c r="G85" s="500">
        <f>+G86</f>
        <v>0</v>
      </c>
      <c r="H85" s="500">
        <f>+H86</f>
        <v>66696</v>
      </c>
      <c r="I85" s="500">
        <f>+I86</f>
        <v>100044</v>
      </c>
      <c r="J85" s="500">
        <f>+J86</f>
        <v>133392</v>
      </c>
    </row>
    <row r="86" spans="1:10" s="397" customFormat="1" outlineLevel="2">
      <c r="A86" s="395"/>
      <c r="B86" s="396"/>
      <c r="C86" s="385"/>
      <c r="D86" s="385"/>
      <c r="E86" s="385" t="s">
        <v>1119</v>
      </c>
      <c r="F86" s="389">
        <v>0</v>
      </c>
      <c r="G86" s="501">
        <v>0</v>
      </c>
      <c r="H86" s="501">
        <v>66696</v>
      </c>
      <c r="I86" s="501">
        <v>100044</v>
      </c>
      <c r="J86" s="503">
        <v>133392</v>
      </c>
    </row>
    <row r="87" spans="1:10" s="397" customFormat="1" outlineLevel="1">
      <c r="A87" s="395"/>
      <c r="B87" s="539"/>
      <c r="C87" s="542" t="s">
        <v>413</v>
      </c>
      <c r="D87" s="538" t="s">
        <v>413</v>
      </c>
      <c r="E87" s="540" t="s">
        <v>418</v>
      </c>
      <c r="F87" s="471">
        <v>0</v>
      </c>
      <c r="G87" s="500">
        <f>+G88</f>
        <v>0</v>
      </c>
      <c r="H87" s="500">
        <f>+H88</f>
        <v>0</v>
      </c>
      <c r="I87" s="500">
        <f>+I88</f>
        <v>0</v>
      </c>
      <c r="J87" s="500">
        <f>+J88</f>
        <v>38000</v>
      </c>
    </row>
    <row r="88" spans="1:10" s="397" customFormat="1" outlineLevel="2">
      <c r="A88" s="395"/>
      <c r="B88" s="396"/>
      <c r="C88" s="385"/>
      <c r="D88" s="385"/>
      <c r="E88" s="385" t="s">
        <v>1120</v>
      </c>
      <c r="F88" s="389">
        <v>0</v>
      </c>
      <c r="G88" s="501">
        <v>0</v>
      </c>
      <c r="H88" s="501">
        <v>0</v>
      </c>
      <c r="I88" s="501">
        <v>0</v>
      </c>
      <c r="J88" s="503">
        <v>38000</v>
      </c>
    </row>
    <row r="89" spans="1:10" s="397" customFormat="1" ht="63.75" outlineLevel="1">
      <c r="A89" s="395"/>
      <c r="B89" s="373">
        <v>1041</v>
      </c>
      <c r="C89" s="542" t="s">
        <v>413</v>
      </c>
      <c r="D89" s="538" t="s">
        <v>413</v>
      </c>
      <c r="E89" s="540" t="s">
        <v>419</v>
      </c>
      <c r="F89" s="471">
        <v>0</v>
      </c>
      <c r="G89" s="500">
        <f>+G90</f>
        <v>0</v>
      </c>
      <c r="H89" s="500">
        <f>+H90</f>
        <v>0</v>
      </c>
      <c r="I89" s="500">
        <f>+I90</f>
        <v>50000</v>
      </c>
      <c r="J89" s="500">
        <f>+J90</f>
        <v>15000</v>
      </c>
    </row>
    <row r="90" spans="1:10" s="397" customFormat="1" outlineLevel="2">
      <c r="A90" s="395"/>
      <c r="B90" s="396"/>
      <c r="C90" s="385"/>
      <c r="D90" s="385"/>
      <c r="E90" s="385" t="s">
        <v>1120</v>
      </c>
      <c r="F90" s="389">
        <v>0</v>
      </c>
      <c r="G90" s="501">
        <v>0</v>
      </c>
      <c r="H90" s="501">
        <v>0</v>
      </c>
      <c r="I90" s="501">
        <v>50000</v>
      </c>
      <c r="J90" s="501">
        <v>15000</v>
      </c>
    </row>
    <row r="91" spans="1:10" s="397" customFormat="1" ht="25.5" outlineLevel="1">
      <c r="A91" s="395"/>
      <c r="B91" s="373">
        <v>1041</v>
      </c>
      <c r="C91" s="542" t="s">
        <v>413</v>
      </c>
      <c r="D91" s="538" t="s">
        <v>413</v>
      </c>
      <c r="E91" s="540" t="s">
        <v>420</v>
      </c>
      <c r="F91" s="471">
        <v>0</v>
      </c>
      <c r="G91" s="500">
        <f>+G92</f>
        <v>0</v>
      </c>
      <c r="H91" s="500">
        <f>+H92</f>
        <v>33348</v>
      </c>
      <c r="I91" s="500">
        <f>+I92</f>
        <v>50022</v>
      </c>
      <c r="J91" s="500">
        <f>+J92</f>
        <v>66696</v>
      </c>
    </row>
    <row r="92" spans="1:10" s="397" customFormat="1" outlineLevel="2">
      <c r="A92" s="395"/>
      <c r="B92" s="396"/>
      <c r="C92" s="385"/>
      <c r="D92" s="385"/>
      <c r="E92" s="385" t="s">
        <v>1119</v>
      </c>
      <c r="F92" s="389">
        <v>0</v>
      </c>
      <c r="G92" s="501">
        <v>0</v>
      </c>
      <c r="H92" s="501">
        <v>33348</v>
      </c>
      <c r="I92" s="501">
        <v>50022</v>
      </c>
      <c r="J92" s="501">
        <v>66696</v>
      </c>
    </row>
    <row r="93" spans="1:10" s="397" customFormat="1" ht="38.25" outlineLevel="1">
      <c r="A93" s="395"/>
      <c r="B93" s="373">
        <v>1041</v>
      </c>
      <c r="C93" s="542" t="s">
        <v>413</v>
      </c>
      <c r="D93" s="538" t="s">
        <v>413</v>
      </c>
      <c r="E93" s="540" t="s">
        <v>1179</v>
      </c>
      <c r="F93" s="471">
        <v>0</v>
      </c>
      <c r="G93" s="500">
        <f>+G94</f>
        <v>0</v>
      </c>
      <c r="H93" s="500">
        <f>+H94</f>
        <v>4571.5</v>
      </c>
      <c r="I93" s="500">
        <f>+I94</f>
        <v>4571.5</v>
      </c>
      <c r="J93" s="500">
        <f>+J94</f>
        <v>4571.5</v>
      </c>
    </row>
    <row r="94" spans="1:10" s="387" customFormat="1" outlineLevel="2">
      <c r="A94" s="382"/>
      <c r="B94" s="474"/>
      <c r="C94" s="475"/>
      <c r="D94" s="475"/>
      <c r="E94" s="475" t="s">
        <v>1120</v>
      </c>
      <c r="F94" s="398">
        <v>0</v>
      </c>
      <c r="G94" s="504">
        <v>0</v>
      </c>
      <c r="H94" s="504">
        <v>4571.5</v>
      </c>
      <c r="I94" s="504">
        <v>4571.5</v>
      </c>
      <c r="J94" s="504">
        <v>4571.5</v>
      </c>
    </row>
    <row r="95" spans="1:10" s="543" customFormat="1">
      <c r="A95" s="574">
        <v>2</v>
      </c>
      <c r="B95" s="544">
        <v>1045</v>
      </c>
      <c r="C95" s="614" t="s">
        <v>429</v>
      </c>
      <c r="D95" s="615"/>
      <c r="E95" s="614"/>
      <c r="F95" s="376">
        <f>SUM(F96,F98,F99,F100,F102,F109,F111,F118,F120,F122,F124,F126,F128,F130,F137,F139)</f>
        <v>10955835.739999998</v>
      </c>
      <c r="G95" s="497">
        <f>SUM(G96,G98,G99,G100,G102,G109,G111,G118,G120,G122,G124,G126,G128,G130,G137,G139+G142+G144+G146+G148+G150+G152+G154+G156+G158+G160)</f>
        <v>15176071.4</v>
      </c>
      <c r="H95" s="497">
        <f>SUM(H96,H98,H99,H100,H102,H109,H111,H118,H120,H122,H124,H126,H128,H130,H137,H139+H142+H144+H146+H148+H150+H152+H154+H156+H158+H160)</f>
        <v>17300861.295307472</v>
      </c>
      <c r="I95" s="497">
        <f t="shared" ref="I95:J95" si="2">SUM(I96,I98,I99,I100,I102,I109,I111,I118,I120,I122,I124,I126,I128,I130,I137,I139+I142+I144+I146+I148+I150+I152+I154+I156+I158+I160)</f>
        <v>23163924.464437298</v>
      </c>
      <c r="J95" s="497">
        <f t="shared" si="2"/>
        <v>21776443.242308453</v>
      </c>
    </row>
    <row r="96" spans="1:10" ht="25.5">
      <c r="A96" s="408"/>
      <c r="B96" s="373">
        <v>1045</v>
      </c>
      <c r="C96" s="392" t="s">
        <v>233</v>
      </c>
      <c r="D96" s="392"/>
      <c r="E96" s="393" t="s">
        <v>430</v>
      </c>
      <c r="F96" s="388">
        <f>+F97</f>
        <v>48598.700000000004</v>
      </c>
      <c r="G96" s="500">
        <f>+G97</f>
        <v>66859</v>
      </c>
      <c r="H96" s="500">
        <f>+H97</f>
        <v>130083.1</v>
      </c>
      <c r="I96" s="500">
        <f>+I97</f>
        <v>135144.1</v>
      </c>
      <c r="J96" s="500">
        <f>+J97</f>
        <v>137466.5</v>
      </c>
    </row>
    <row r="97" spans="1:10" s="387" customFormat="1">
      <c r="A97" s="395"/>
      <c r="B97" s="396"/>
      <c r="C97" s="385" t="s">
        <v>1186</v>
      </c>
      <c r="D97" s="385">
        <v>4639</v>
      </c>
      <c r="E97" s="385" t="s">
        <v>1119</v>
      </c>
      <c r="F97" s="389">
        <v>48598.700000000004</v>
      </c>
      <c r="G97" s="501">
        <v>66859</v>
      </c>
      <c r="H97" s="501">
        <v>130083.1</v>
      </c>
      <c r="I97" s="501">
        <v>135144.1</v>
      </c>
      <c r="J97" s="501">
        <v>137466.5</v>
      </c>
    </row>
    <row r="98" spans="1:10" s="394" customFormat="1" ht="38.25" outlineLevel="1">
      <c r="A98" s="408"/>
      <c r="B98" s="373">
        <v>1045</v>
      </c>
      <c r="C98" s="392">
        <v>11004</v>
      </c>
      <c r="D98" s="392"/>
      <c r="E98" s="393" t="s">
        <v>431</v>
      </c>
      <c r="F98" s="388">
        <v>10009.6</v>
      </c>
      <c r="G98" s="500">
        <v>0</v>
      </c>
      <c r="H98" s="500">
        <v>0</v>
      </c>
      <c r="I98" s="500">
        <v>0</v>
      </c>
      <c r="J98" s="500">
        <v>0</v>
      </c>
    </row>
    <row r="99" spans="1:10" s="394" customFormat="1" ht="21" customHeight="1" outlineLevel="1">
      <c r="A99" s="408"/>
      <c r="B99" s="373">
        <v>1045</v>
      </c>
      <c r="C99" s="392">
        <v>11005</v>
      </c>
      <c r="D99" s="392"/>
      <c r="E99" s="393" t="s">
        <v>432</v>
      </c>
      <c r="F99" s="388">
        <v>10000</v>
      </c>
      <c r="G99" s="500">
        <v>0</v>
      </c>
      <c r="H99" s="500">
        <v>0</v>
      </c>
      <c r="I99" s="500">
        <v>0</v>
      </c>
      <c r="J99" s="500">
        <v>0</v>
      </c>
    </row>
    <row r="100" spans="1:10" ht="25.5">
      <c r="A100" s="408"/>
      <c r="B100" s="373">
        <v>1045</v>
      </c>
      <c r="C100" s="392">
        <v>12001</v>
      </c>
      <c r="D100" s="392"/>
      <c r="E100" s="393" t="s">
        <v>433</v>
      </c>
      <c r="F100" s="388">
        <f>+F101</f>
        <v>269864.57</v>
      </c>
      <c r="G100" s="500">
        <f>+G101</f>
        <v>866926.8</v>
      </c>
      <c r="H100" s="500">
        <f>+H101</f>
        <v>951444</v>
      </c>
      <c r="I100" s="500">
        <f>+I101</f>
        <v>951444</v>
      </c>
      <c r="J100" s="500">
        <f>+J101</f>
        <v>951444</v>
      </c>
    </row>
    <row r="101" spans="1:10" s="387" customFormat="1" ht="25.5">
      <c r="A101" s="395"/>
      <c r="B101" s="396"/>
      <c r="C101" s="385" t="s">
        <v>1186</v>
      </c>
      <c r="D101" s="385">
        <v>4727</v>
      </c>
      <c r="E101" s="385" t="s">
        <v>1122</v>
      </c>
      <c r="F101" s="389">
        <v>269864.57</v>
      </c>
      <c r="G101" s="501">
        <v>866926.8</v>
      </c>
      <c r="H101" s="501">
        <v>951444</v>
      </c>
      <c r="I101" s="501">
        <v>951444</v>
      </c>
      <c r="J101" s="501">
        <v>951444</v>
      </c>
    </row>
    <row r="102" spans="1:10" ht="25.5">
      <c r="A102" s="408"/>
      <c r="B102" s="373">
        <v>1045</v>
      </c>
      <c r="C102" s="392">
        <v>12002</v>
      </c>
      <c r="D102" s="392"/>
      <c r="E102" s="393" t="s">
        <v>434</v>
      </c>
      <c r="F102" s="388">
        <f>+F103+F105+F107</f>
        <v>549503.85</v>
      </c>
      <c r="G102" s="500">
        <f>+G103+G105+G107</f>
        <v>967683</v>
      </c>
      <c r="H102" s="500">
        <f>+H103+H105+H107</f>
        <v>888647</v>
      </c>
      <c r="I102" s="500">
        <f>+I103+I105+I107</f>
        <v>886566.5</v>
      </c>
      <c r="J102" s="500">
        <f>+J103+J105+J107</f>
        <v>886528.5</v>
      </c>
    </row>
    <row r="103" spans="1:10" ht="25.5">
      <c r="A103" s="408"/>
      <c r="B103" s="373"/>
      <c r="C103" s="385" t="s">
        <v>1186</v>
      </c>
      <c r="D103" s="392"/>
      <c r="E103" s="428" t="s">
        <v>1123</v>
      </c>
      <c r="F103" s="545">
        <f>+F104</f>
        <v>542122.35</v>
      </c>
      <c r="G103" s="507">
        <f>+G104</f>
        <v>952008</v>
      </c>
      <c r="H103" s="507">
        <f>+H104</f>
        <v>885900</v>
      </c>
      <c r="I103" s="507">
        <f>+I104</f>
        <v>885900</v>
      </c>
      <c r="J103" s="507">
        <f>+J104</f>
        <v>885900</v>
      </c>
    </row>
    <row r="104" spans="1:10" s="387" customFormat="1" ht="25.5">
      <c r="A104" s="395"/>
      <c r="B104" s="396"/>
      <c r="C104" s="385"/>
      <c r="D104" s="385">
        <v>4727</v>
      </c>
      <c r="E104" s="385" t="s">
        <v>1122</v>
      </c>
      <c r="F104" s="389">
        <v>542122.35</v>
      </c>
      <c r="G104" s="501">
        <v>952008</v>
      </c>
      <c r="H104" s="501">
        <v>885900</v>
      </c>
      <c r="I104" s="501">
        <v>885900</v>
      </c>
      <c r="J104" s="501">
        <v>885900</v>
      </c>
    </row>
    <row r="105" spans="1:10">
      <c r="A105" s="408"/>
      <c r="B105" s="373"/>
      <c r="C105" s="389"/>
      <c r="D105" s="392"/>
      <c r="E105" s="428" t="s">
        <v>1126</v>
      </c>
      <c r="F105" s="545">
        <f>+F106</f>
        <v>5975.5</v>
      </c>
      <c r="G105" s="507">
        <f>+G106</f>
        <v>14022</v>
      </c>
      <c r="H105" s="507">
        <f>+H106</f>
        <v>1995</v>
      </c>
      <c r="I105" s="507">
        <f>+I106</f>
        <v>0</v>
      </c>
      <c r="J105" s="507">
        <f>+J106</f>
        <v>0</v>
      </c>
    </row>
    <row r="106" spans="1:10" s="387" customFormat="1" ht="25.5">
      <c r="A106" s="395"/>
      <c r="B106" s="396"/>
      <c r="C106" s="385"/>
      <c r="D106" s="385">
        <v>4727</v>
      </c>
      <c r="E106" s="385" t="s">
        <v>1122</v>
      </c>
      <c r="F106" s="389">
        <v>5975.5</v>
      </c>
      <c r="G106" s="501">
        <v>14022</v>
      </c>
      <c r="H106" s="501">
        <v>1995</v>
      </c>
      <c r="I106" s="501">
        <v>0</v>
      </c>
      <c r="J106" s="501">
        <v>0</v>
      </c>
    </row>
    <row r="107" spans="1:10" ht="38.25">
      <c r="A107" s="408"/>
      <c r="B107" s="373"/>
      <c r="C107" s="389"/>
      <c r="D107" s="392"/>
      <c r="E107" s="428" t="s">
        <v>1124</v>
      </c>
      <c r="F107" s="545">
        <f>+F108</f>
        <v>1406</v>
      </c>
      <c r="G107" s="507">
        <f>+G108</f>
        <v>1653</v>
      </c>
      <c r="H107" s="507">
        <f>+H108</f>
        <v>752</v>
      </c>
      <c r="I107" s="507">
        <f>+I108</f>
        <v>666.5</v>
      </c>
      <c r="J107" s="507">
        <f>+J108</f>
        <v>628.5</v>
      </c>
    </row>
    <row r="108" spans="1:10" s="387" customFormat="1" ht="25.5">
      <c r="A108" s="395"/>
      <c r="B108" s="396"/>
      <c r="C108" s="385"/>
      <c r="D108" s="385">
        <v>4727</v>
      </c>
      <c r="E108" s="385" t="s">
        <v>1122</v>
      </c>
      <c r="F108" s="389">
        <v>1406</v>
      </c>
      <c r="G108" s="501">
        <v>1653</v>
      </c>
      <c r="H108" s="501">
        <v>752</v>
      </c>
      <c r="I108" s="501">
        <v>666.5</v>
      </c>
      <c r="J108" s="501">
        <v>628.5</v>
      </c>
    </row>
    <row r="109" spans="1:10" ht="38.25">
      <c r="A109" s="408"/>
      <c r="B109" s="373">
        <v>1045</v>
      </c>
      <c r="C109" s="392">
        <v>12003</v>
      </c>
      <c r="D109" s="392"/>
      <c r="E109" s="393" t="s">
        <v>435</v>
      </c>
      <c r="F109" s="388">
        <f>+F110</f>
        <v>2409043.7599999998</v>
      </c>
      <c r="G109" s="500">
        <f>+G110</f>
        <v>2764737.3</v>
      </c>
      <c r="H109" s="500">
        <f>+H110</f>
        <v>2780585.9</v>
      </c>
      <c r="I109" s="500">
        <f>+I110</f>
        <v>2991489.5</v>
      </c>
      <c r="J109" s="500">
        <f>+J110</f>
        <v>3129594.7</v>
      </c>
    </row>
    <row r="110" spans="1:10" s="387" customFormat="1">
      <c r="A110" s="395"/>
      <c r="B110" s="396"/>
      <c r="C110" s="385"/>
      <c r="D110" s="385">
        <v>4729</v>
      </c>
      <c r="E110" s="385" t="s">
        <v>1125</v>
      </c>
      <c r="F110" s="389">
        <v>2409043.7599999998</v>
      </c>
      <c r="G110" s="501">
        <v>2764737.3</v>
      </c>
      <c r="H110" s="501">
        <v>2780585.9</v>
      </c>
      <c r="I110" s="501">
        <v>2991489.5</v>
      </c>
      <c r="J110" s="501">
        <v>3129594.7</v>
      </c>
    </row>
    <row r="111" spans="1:10" ht="29.25" customHeight="1">
      <c r="A111" s="408"/>
      <c r="B111" s="373">
        <v>1045</v>
      </c>
      <c r="C111" s="392">
        <v>12004</v>
      </c>
      <c r="D111" s="392"/>
      <c r="E111" s="393" t="s">
        <v>436</v>
      </c>
      <c r="F111" s="388">
        <f>+F112+F114+F116</f>
        <v>6769618.4199999999</v>
      </c>
      <c r="G111" s="500">
        <f>+G112+G114+G116</f>
        <v>7529999.2000000002</v>
      </c>
      <c r="H111" s="500">
        <f>+H112+H114+H116</f>
        <v>7478369.6000000006</v>
      </c>
      <c r="I111" s="500">
        <f>+I112+I114+I116</f>
        <v>7762137.0000000009</v>
      </c>
      <c r="J111" s="500">
        <f>+J112+J114+J116</f>
        <v>8045854.5000000009</v>
      </c>
    </row>
    <row r="112" spans="1:10" ht="25.5">
      <c r="A112" s="408"/>
      <c r="B112" s="373"/>
      <c r="C112" s="385"/>
      <c r="D112" s="392"/>
      <c r="E112" s="428" t="s">
        <v>1123</v>
      </c>
      <c r="F112" s="545">
        <f>+F113</f>
        <v>6670328.1200000001</v>
      </c>
      <c r="G112" s="507">
        <f>+G113</f>
        <v>7410696.9000000004</v>
      </c>
      <c r="H112" s="507">
        <f>+H113</f>
        <v>7349385.7999999998</v>
      </c>
      <c r="I112" s="507">
        <f>+I113</f>
        <v>7633103.2000000002</v>
      </c>
      <c r="J112" s="507">
        <f>+J113</f>
        <v>7916820.7000000002</v>
      </c>
    </row>
    <row r="113" spans="1:10" s="387" customFormat="1" ht="25.5">
      <c r="A113" s="395"/>
      <c r="B113" s="396"/>
      <c r="C113" s="385"/>
      <c r="D113" s="385">
        <v>4727</v>
      </c>
      <c r="E113" s="385" t="s">
        <v>1122</v>
      </c>
      <c r="F113" s="389">
        <v>6670328.1200000001</v>
      </c>
      <c r="G113" s="501">
        <v>7410696.9000000004</v>
      </c>
      <c r="H113" s="501">
        <v>7349385.7999999998</v>
      </c>
      <c r="I113" s="501">
        <v>7633103.2000000002</v>
      </c>
      <c r="J113" s="501">
        <v>7916820.7000000002</v>
      </c>
    </row>
    <row r="114" spans="1:10">
      <c r="A114" s="408"/>
      <c r="B114" s="373"/>
      <c r="C114" s="385"/>
      <c r="D114" s="392"/>
      <c r="E114" s="428" t="s">
        <v>1126</v>
      </c>
      <c r="F114" s="545">
        <f>+F115</f>
        <v>76158.7</v>
      </c>
      <c r="G114" s="507">
        <f>+G115</f>
        <v>93420.1</v>
      </c>
      <c r="H114" s="507">
        <f>+H115</f>
        <v>102911.4</v>
      </c>
      <c r="I114" s="507">
        <f>+I115</f>
        <v>102961.4</v>
      </c>
      <c r="J114" s="507">
        <f>+J115</f>
        <v>102961.4</v>
      </c>
    </row>
    <row r="115" spans="1:10" s="387" customFormat="1" ht="25.5">
      <c r="A115" s="395"/>
      <c r="B115" s="396"/>
      <c r="C115" s="385"/>
      <c r="D115" s="385">
        <v>4727</v>
      </c>
      <c r="E115" s="385" t="s">
        <v>1122</v>
      </c>
      <c r="F115" s="389">
        <v>76158.7</v>
      </c>
      <c r="G115" s="501">
        <v>93420.1</v>
      </c>
      <c r="H115" s="501">
        <v>102911.4</v>
      </c>
      <c r="I115" s="501">
        <v>102961.4</v>
      </c>
      <c r="J115" s="501">
        <v>102961.4</v>
      </c>
    </row>
    <row r="116" spans="1:10" ht="38.25">
      <c r="A116" s="408"/>
      <c r="B116" s="373"/>
      <c r="C116" s="392"/>
      <c r="D116" s="392"/>
      <c r="E116" s="428" t="s">
        <v>1124</v>
      </c>
      <c r="F116" s="545">
        <f>+F117</f>
        <v>23131.600000000002</v>
      </c>
      <c r="G116" s="507">
        <f>+G117</f>
        <v>25882.2</v>
      </c>
      <c r="H116" s="507">
        <f t="shared" ref="H116:J116" si="3">+H117</f>
        <v>26072.400000000001</v>
      </c>
      <c r="I116" s="507">
        <f t="shared" si="3"/>
        <v>26072.400000000001</v>
      </c>
      <c r="J116" s="507">
        <f t="shared" si="3"/>
        <v>26072.400000000001</v>
      </c>
    </row>
    <row r="117" spans="1:10" s="387" customFormat="1" ht="25.5">
      <c r="A117" s="395"/>
      <c r="B117" s="396"/>
      <c r="C117" s="385"/>
      <c r="D117" s="385">
        <v>4727</v>
      </c>
      <c r="E117" s="385" t="s">
        <v>1122</v>
      </c>
      <c r="F117" s="389">
        <v>23131.600000000002</v>
      </c>
      <c r="G117" s="501">
        <v>25882.2</v>
      </c>
      <c r="H117" s="501">
        <v>26072.400000000001</v>
      </c>
      <c r="I117" s="501">
        <v>26072.400000000001</v>
      </c>
      <c r="J117" s="501">
        <v>26072.400000000001</v>
      </c>
    </row>
    <row r="118" spans="1:10" ht="63.75">
      <c r="A118" s="408"/>
      <c r="B118" s="373">
        <v>1045</v>
      </c>
      <c r="C118" s="392">
        <v>12007</v>
      </c>
      <c r="D118" s="392"/>
      <c r="E118" s="393" t="s">
        <v>437</v>
      </c>
      <c r="F118" s="388">
        <f>+F119</f>
        <v>0</v>
      </c>
      <c r="G118" s="500">
        <f>+G119</f>
        <v>62720</v>
      </c>
      <c r="H118" s="500">
        <f>+H119</f>
        <v>346087.9</v>
      </c>
      <c r="I118" s="500">
        <f>+I119</f>
        <v>2265120.6</v>
      </c>
      <c r="J118" s="500">
        <f>H118</f>
        <v>346087.9</v>
      </c>
    </row>
    <row r="119" spans="1:10" s="387" customFormat="1">
      <c r="A119" s="395"/>
      <c r="B119" s="396"/>
      <c r="C119" s="385"/>
      <c r="D119" s="385">
        <v>4729</v>
      </c>
      <c r="E119" s="385" t="s">
        <v>1125</v>
      </c>
      <c r="F119" s="389">
        <v>0</v>
      </c>
      <c r="G119" s="501">
        <v>62720</v>
      </c>
      <c r="H119" s="501">
        <v>346087.9</v>
      </c>
      <c r="I119" s="501">
        <v>2265120.6</v>
      </c>
      <c r="J119" s="501">
        <v>4500793.5999999996</v>
      </c>
    </row>
    <row r="120" spans="1:10" ht="63.75">
      <c r="A120" s="408"/>
      <c r="B120" s="373">
        <v>1045</v>
      </c>
      <c r="C120" s="392">
        <v>12009</v>
      </c>
      <c r="D120" s="392"/>
      <c r="E120" s="393" t="s">
        <v>438</v>
      </c>
      <c r="F120" s="388">
        <f>+F121</f>
        <v>0</v>
      </c>
      <c r="G120" s="500">
        <f>+G121</f>
        <v>103894</v>
      </c>
      <c r="H120" s="500">
        <f>+H121</f>
        <v>333375</v>
      </c>
      <c r="I120" s="500">
        <f>+I121</f>
        <v>350043.8</v>
      </c>
      <c r="J120" s="500">
        <f>+J121</f>
        <v>367545.9</v>
      </c>
    </row>
    <row r="121" spans="1:10" s="387" customFormat="1">
      <c r="A121" s="395"/>
      <c r="B121" s="396"/>
      <c r="C121" s="385"/>
      <c r="D121" s="385">
        <v>4729</v>
      </c>
      <c r="E121" s="385" t="s">
        <v>1125</v>
      </c>
      <c r="F121" s="389">
        <v>0</v>
      </c>
      <c r="G121" s="501">
        <v>103894</v>
      </c>
      <c r="H121" s="501">
        <v>333375</v>
      </c>
      <c r="I121" s="501">
        <v>350043.8</v>
      </c>
      <c r="J121" s="501">
        <v>367545.9</v>
      </c>
    </row>
    <row r="122" spans="1:10" ht="76.5">
      <c r="A122" s="408"/>
      <c r="B122" s="373">
        <v>1045</v>
      </c>
      <c r="C122" s="392">
        <v>12010</v>
      </c>
      <c r="D122" s="392"/>
      <c r="E122" s="393" t="s">
        <v>440</v>
      </c>
      <c r="F122" s="388">
        <f>+F123</f>
        <v>15210.67</v>
      </c>
      <c r="G122" s="500">
        <f>+G123</f>
        <v>352086.6</v>
      </c>
      <c r="H122" s="500">
        <f>+H123</f>
        <v>313392</v>
      </c>
      <c r="I122" s="500">
        <f>+I123</f>
        <v>383088</v>
      </c>
      <c r="J122" s="500">
        <f>+J123</f>
        <v>453184</v>
      </c>
    </row>
    <row r="123" spans="1:10" s="387" customFormat="1">
      <c r="A123" s="395"/>
      <c r="B123" s="396"/>
      <c r="C123" s="385"/>
      <c r="D123" s="385">
        <v>4729</v>
      </c>
      <c r="E123" s="385" t="s">
        <v>1125</v>
      </c>
      <c r="F123" s="389">
        <v>15210.67</v>
      </c>
      <c r="G123" s="501">
        <v>352086.6</v>
      </c>
      <c r="H123" s="501">
        <v>313392</v>
      </c>
      <c r="I123" s="501">
        <v>383088</v>
      </c>
      <c r="J123" s="501">
        <v>453184</v>
      </c>
    </row>
    <row r="124" spans="1:10" ht="76.5">
      <c r="A124" s="408"/>
      <c r="B124" s="373">
        <v>1045</v>
      </c>
      <c r="C124" s="392">
        <v>12012</v>
      </c>
      <c r="D124" s="392"/>
      <c r="E124" s="393" t="s">
        <v>442</v>
      </c>
      <c r="F124" s="388">
        <f>+F125</f>
        <v>4095.5</v>
      </c>
      <c r="G124" s="500">
        <f>+G125</f>
        <v>59290</v>
      </c>
      <c r="H124" s="500">
        <f>+H125</f>
        <v>11550</v>
      </c>
      <c r="I124" s="500">
        <f>+I125</f>
        <v>10780</v>
      </c>
      <c r="J124" s="500">
        <f>+J125</f>
        <v>10061.299999999999</v>
      </c>
    </row>
    <row r="125" spans="1:10" s="387" customFormat="1">
      <c r="A125" s="395"/>
      <c r="B125" s="396"/>
      <c r="C125" s="385"/>
      <c r="D125" s="385">
        <v>4729</v>
      </c>
      <c r="E125" s="385" t="s">
        <v>1125</v>
      </c>
      <c r="F125" s="389">
        <v>4095.5</v>
      </c>
      <c r="G125" s="501">
        <v>59290</v>
      </c>
      <c r="H125" s="501">
        <v>11550</v>
      </c>
      <c r="I125" s="501">
        <v>10780</v>
      </c>
      <c r="J125" s="501">
        <v>10061.299999999999</v>
      </c>
    </row>
    <row r="126" spans="1:10" ht="63.75">
      <c r="A126" s="408"/>
      <c r="B126" s="373">
        <v>1045</v>
      </c>
      <c r="C126" s="392">
        <v>12013</v>
      </c>
      <c r="D126" s="392"/>
      <c r="E126" s="393" t="s">
        <v>443</v>
      </c>
      <c r="F126" s="388">
        <f>+F127</f>
        <v>109586</v>
      </c>
      <c r="G126" s="500">
        <f>+G127</f>
        <v>402900</v>
      </c>
      <c r="H126" s="500">
        <f>+H127</f>
        <v>218272</v>
      </c>
      <c r="I126" s="500">
        <f>+I127</f>
        <v>203583.1</v>
      </c>
      <c r="J126" s="500">
        <f>+J127</f>
        <v>189925</v>
      </c>
    </row>
    <row r="127" spans="1:10" s="387" customFormat="1">
      <c r="A127" s="395"/>
      <c r="B127" s="396"/>
      <c r="C127" s="385"/>
      <c r="D127" s="385">
        <v>4729</v>
      </c>
      <c r="E127" s="385" t="s">
        <v>1125</v>
      </c>
      <c r="F127" s="389">
        <v>109586</v>
      </c>
      <c r="G127" s="501">
        <v>402900</v>
      </c>
      <c r="H127" s="501">
        <v>218272</v>
      </c>
      <c r="I127" s="501">
        <v>203583.1</v>
      </c>
      <c r="J127" s="501">
        <v>189925</v>
      </c>
    </row>
    <row r="128" spans="1:10" s="394" customFormat="1" ht="89.25" outlineLevel="1">
      <c r="A128" s="408"/>
      <c r="B128" s="373">
        <v>1045</v>
      </c>
      <c r="C128" s="392">
        <v>12014</v>
      </c>
      <c r="D128" s="392"/>
      <c r="E128" s="393" t="s">
        <v>444</v>
      </c>
      <c r="F128" s="388">
        <f>+F129</f>
        <v>6859</v>
      </c>
      <c r="G128" s="500">
        <f>+G129</f>
        <v>0</v>
      </c>
      <c r="H128" s="500">
        <f>+H129</f>
        <v>6300</v>
      </c>
      <c r="I128" s="500">
        <f>+I129</f>
        <v>5880</v>
      </c>
      <c r="J128" s="500">
        <f>+J129</f>
        <v>5488</v>
      </c>
    </row>
    <row r="129" spans="1:10" s="394" customFormat="1" outlineLevel="1">
      <c r="A129" s="408"/>
      <c r="B129" s="373"/>
      <c r="C129" s="385"/>
      <c r="D129" s="385">
        <v>4729</v>
      </c>
      <c r="E129" s="385" t="s">
        <v>1125</v>
      </c>
      <c r="F129" s="389">
        <v>6859</v>
      </c>
      <c r="G129" s="501">
        <v>0</v>
      </c>
      <c r="H129" s="501">
        <v>6300</v>
      </c>
      <c r="I129" s="501">
        <v>5880</v>
      </c>
      <c r="J129" s="501">
        <v>5488</v>
      </c>
    </row>
    <row r="130" spans="1:10" ht="51">
      <c r="A130" s="408"/>
      <c r="B130" s="420">
        <v>1045</v>
      </c>
      <c r="C130" s="415">
        <v>32001</v>
      </c>
      <c r="D130" s="415"/>
      <c r="E130" s="416" t="s">
        <v>726</v>
      </c>
      <c r="F130" s="417">
        <f>+F131+F134</f>
        <v>437218.43000000005</v>
      </c>
      <c r="G130" s="522">
        <f>+G131+G134</f>
        <v>855233.3</v>
      </c>
      <c r="H130" s="522">
        <f t="shared" ref="H130:J130" si="4">+H131+H134</f>
        <v>1825771.8798024701</v>
      </c>
      <c r="I130" s="522">
        <f t="shared" si="4"/>
        <v>2381064.3510600002</v>
      </c>
      <c r="J130" s="522">
        <f t="shared" si="4"/>
        <v>2596138.3846000005</v>
      </c>
    </row>
    <row r="131" spans="1:10" ht="25.5">
      <c r="A131" s="408"/>
      <c r="B131" s="420"/>
      <c r="C131" s="415"/>
      <c r="D131" s="415"/>
      <c r="E131" s="428" t="s">
        <v>1123</v>
      </c>
      <c r="F131" s="545">
        <f>+F132+F133</f>
        <v>210374.6</v>
      </c>
      <c r="G131" s="507">
        <f>+G132+G133</f>
        <v>652499</v>
      </c>
      <c r="H131" s="507">
        <f>+H132+H133</f>
        <v>839838.54070246976</v>
      </c>
      <c r="I131" s="507">
        <f>+I132+I133</f>
        <v>976788.07096000016</v>
      </c>
      <c r="J131" s="507">
        <f>+J132+J133</f>
        <v>976756.91760000028</v>
      </c>
    </row>
    <row r="132" spans="1:10" s="387" customFormat="1">
      <c r="A132" s="395"/>
      <c r="B132" s="396"/>
      <c r="C132" s="385"/>
      <c r="D132" s="385">
        <v>5113</v>
      </c>
      <c r="E132" s="385" t="s">
        <v>1127</v>
      </c>
      <c r="F132" s="389">
        <v>210374.6</v>
      </c>
      <c r="G132" s="501">
        <v>580053</v>
      </c>
      <c r="H132" s="501">
        <v>839838.54070246976</v>
      </c>
      <c r="I132" s="501">
        <v>976788.07096000016</v>
      </c>
      <c r="J132" s="501">
        <v>976756.91760000028</v>
      </c>
    </row>
    <row r="133" spans="1:10" s="387" customFormat="1">
      <c r="A133" s="395"/>
      <c r="B133" s="396"/>
      <c r="C133" s="385"/>
      <c r="D133" s="385">
        <v>5134</v>
      </c>
      <c r="E133" s="385" t="s">
        <v>1128</v>
      </c>
      <c r="F133" s="389"/>
      <c r="G133" s="501">
        <v>72446</v>
      </c>
      <c r="H133" s="501">
        <v>0</v>
      </c>
      <c r="I133" s="501">
        <v>0</v>
      </c>
      <c r="J133" s="501">
        <v>0</v>
      </c>
    </row>
    <row r="134" spans="1:10" s="409" customFormat="1">
      <c r="A134" s="546"/>
      <c r="B134" s="547"/>
      <c r="C134" s="546"/>
      <c r="D134" s="546"/>
      <c r="E134" s="428" t="s">
        <v>1129</v>
      </c>
      <c r="F134" s="545">
        <f>+F135+F136</f>
        <v>226843.83000000002</v>
      </c>
      <c r="G134" s="507">
        <f>+G135+G136</f>
        <v>202734.30000000002</v>
      </c>
      <c r="H134" s="507">
        <f>+H135+H136</f>
        <v>985933.33910000022</v>
      </c>
      <c r="I134" s="507">
        <f>+I135+I136</f>
        <v>1404276.2800999999</v>
      </c>
      <c r="J134" s="507">
        <f>+J135+J136</f>
        <v>1619381.4669999999</v>
      </c>
    </row>
    <row r="135" spans="1:10" s="387" customFormat="1">
      <c r="A135" s="395"/>
      <c r="B135" s="396"/>
      <c r="C135" s="385"/>
      <c r="D135" s="385">
        <v>5113</v>
      </c>
      <c r="E135" s="385" t="s">
        <v>1127</v>
      </c>
      <c r="F135" s="389">
        <v>226843.83000000002</v>
      </c>
      <c r="G135" s="501">
        <v>157390.20000000001</v>
      </c>
      <c r="H135" s="501">
        <v>985933.33910000022</v>
      </c>
      <c r="I135" s="501">
        <v>1366708.0151</v>
      </c>
      <c r="J135" s="501">
        <v>1619381.4669999999</v>
      </c>
    </row>
    <row r="136" spans="1:10" s="387" customFormat="1">
      <c r="A136" s="395"/>
      <c r="B136" s="396"/>
      <c r="C136" s="385"/>
      <c r="D136" s="385">
        <v>5134</v>
      </c>
      <c r="E136" s="385" t="s">
        <v>1128</v>
      </c>
      <c r="F136" s="389"/>
      <c r="G136" s="501">
        <v>45344.1</v>
      </c>
      <c r="H136" s="501">
        <v>0</v>
      </c>
      <c r="I136" s="501">
        <v>37568.264999999999</v>
      </c>
      <c r="J136" s="501">
        <v>0</v>
      </c>
    </row>
    <row r="137" spans="1:10" ht="51">
      <c r="A137" s="408"/>
      <c r="B137" s="420">
        <v>1045</v>
      </c>
      <c r="C137" s="415">
        <v>32004</v>
      </c>
      <c r="D137" s="415"/>
      <c r="E137" s="416" t="s">
        <v>727</v>
      </c>
      <c r="F137" s="417">
        <f>+F138</f>
        <v>0</v>
      </c>
      <c r="G137" s="522">
        <f>+G138</f>
        <v>161123.20000000001</v>
      </c>
      <c r="H137" s="522">
        <f>+H138</f>
        <v>0</v>
      </c>
      <c r="I137" s="522">
        <f>+I138</f>
        <v>542243.99300000002</v>
      </c>
      <c r="J137" s="522">
        <f>+J138</f>
        <v>126123.83900000001</v>
      </c>
    </row>
    <row r="138" spans="1:10" s="387" customFormat="1">
      <c r="A138" s="395"/>
      <c r="B138" s="396"/>
      <c r="C138" s="385"/>
      <c r="D138" s="385">
        <v>5129</v>
      </c>
      <c r="E138" s="385" t="s">
        <v>1172</v>
      </c>
      <c r="F138" s="389">
        <v>0</v>
      </c>
      <c r="G138" s="501">
        <v>161123.20000000001</v>
      </c>
      <c r="H138" s="501">
        <v>0</v>
      </c>
      <c r="I138" s="501">
        <v>542243.99300000002</v>
      </c>
      <c r="J138" s="501">
        <v>126123.83900000001</v>
      </c>
    </row>
    <row r="139" spans="1:10" ht="38.25">
      <c r="A139" s="408"/>
      <c r="B139" s="420">
        <v>1045</v>
      </c>
      <c r="C139" s="415">
        <v>32005</v>
      </c>
      <c r="D139" s="415"/>
      <c r="E139" s="416" t="s">
        <v>728</v>
      </c>
      <c r="F139" s="417">
        <f>+F140</f>
        <v>316227.24</v>
      </c>
      <c r="G139" s="522">
        <f t="shared" ref="G139:J139" si="5">+G140</f>
        <v>982619</v>
      </c>
      <c r="H139" s="522">
        <f t="shared" si="5"/>
        <v>1468071.9155050002</v>
      </c>
      <c r="I139" s="522">
        <f t="shared" si="5"/>
        <v>2178818.720377299</v>
      </c>
      <c r="J139" s="522">
        <f t="shared" si="5"/>
        <v>1856238.3187084482</v>
      </c>
    </row>
    <row r="140" spans="1:10">
      <c r="A140" s="408"/>
      <c r="B140" s="420"/>
      <c r="C140" s="415"/>
      <c r="D140" s="415"/>
      <c r="E140" s="428" t="s">
        <v>1129</v>
      </c>
      <c r="F140" s="545">
        <f>+F141</f>
        <v>316227.24</v>
      </c>
      <c r="G140" s="507">
        <f>+G141</f>
        <v>982619</v>
      </c>
      <c r="H140" s="507">
        <f>+H141</f>
        <v>1468071.9155050002</v>
      </c>
      <c r="I140" s="507">
        <f>+I141</f>
        <v>2178818.720377299</v>
      </c>
      <c r="J140" s="507">
        <f>+J141</f>
        <v>1856238.3187084482</v>
      </c>
    </row>
    <row r="141" spans="1:10" s="387" customFormat="1">
      <c r="A141" s="395"/>
      <c r="B141" s="396"/>
      <c r="C141" s="385"/>
      <c r="D141" s="385">
        <v>5112</v>
      </c>
      <c r="E141" s="385" t="s">
        <v>1130</v>
      </c>
      <c r="F141" s="389">
        <v>316227.24</v>
      </c>
      <c r="G141" s="501">
        <v>982619</v>
      </c>
      <c r="H141" s="501">
        <v>1468071.9155050002</v>
      </c>
      <c r="I141" s="501">
        <v>2178818.720377299</v>
      </c>
      <c r="J141" s="501">
        <v>1856238.3187084482</v>
      </c>
    </row>
    <row r="142" spans="1:10" ht="51" outlineLevel="2">
      <c r="A142" s="359"/>
      <c r="B142" s="378">
        <v>1045</v>
      </c>
      <c r="C142" s="542" t="s">
        <v>413</v>
      </c>
      <c r="D142" s="410"/>
      <c r="E142" s="393" t="s">
        <v>453</v>
      </c>
      <c r="F142" s="388">
        <f>+F143</f>
        <v>0</v>
      </c>
      <c r="G142" s="500">
        <f>+G143</f>
        <v>0</v>
      </c>
      <c r="H142" s="500">
        <f>+H143</f>
        <v>3000</v>
      </c>
      <c r="I142" s="500">
        <f>+I143</f>
        <v>3000</v>
      </c>
      <c r="J142" s="500">
        <f>+J143</f>
        <v>0</v>
      </c>
    </row>
    <row r="143" spans="1:10" outlineLevel="2">
      <c r="A143" s="359"/>
      <c r="B143" s="378"/>
      <c r="C143" s="379"/>
      <c r="D143" s="411"/>
      <c r="E143" s="548"/>
      <c r="F143" s="548">
        <v>0</v>
      </c>
      <c r="G143" s="549">
        <v>0</v>
      </c>
      <c r="H143" s="549">
        <v>3000</v>
      </c>
      <c r="I143" s="549">
        <v>3000</v>
      </c>
      <c r="J143" s="552">
        <v>0</v>
      </c>
    </row>
    <row r="144" spans="1:10" ht="38.25" outlineLevel="1">
      <c r="A144" s="359"/>
      <c r="B144" s="378">
        <v>1045</v>
      </c>
      <c r="C144" s="542" t="s">
        <v>413</v>
      </c>
      <c r="D144" s="403" t="s">
        <v>413</v>
      </c>
      <c r="E144" s="540" t="s">
        <v>446</v>
      </c>
      <c r="F144" s="471">
        <f>+F145</f>
        <v>0</v>
      </c>
      <c r="G144" s="537">
        <f>+G145</f>
        <v>0</v>
      </c>
      <c r="H144" s="537">
        <f>+H145</f>
        <v>112320</v>
      </c>
      <c r="I144" s="537">
        <f>+I145</f>
        <v>258336</v>
      </c>
      <c r="J144" s="537">
        <f>+J145</f>
        <v>448157</v>
      </c>
    </row>
    <row r="145" spans="1:10" outlineLevel="1">
      <c r="A145" s="359"/>
      <c r="B145" s="378"/>
      <c r="C145" s="412"/>
      <c r="D145" s="411"/>
      <c r="E145" s="548"/>
      <c r="F145" s="548">
        <v>0</v>
      </c>
      <c r="G145" s="549">
        <v>0</v>
      </c>
      <c r="H145" s="549">
        <v>112320</v>
      </c>
      <c r="I145" s="549">
        <v>258336</v>
      </c>
      <c r="J145" s="552">
        <v>448157</v>
      </c>
    </row>
    <row r="146" spans="1:10" ht="38.25" outlineLevel="1">
      <c r="A146" s="359"/>
      <c r="B146" s="378">
        <v>1045</v>
      </c>
      <c r="C146" s="542" t="s">
        <v>413</v>
      </c>
      <c r="D146" s="403" t="s">
        <v>413</v>
      </c>
      <c r="E146" s="540" t="s">
        <v>447</v>
      </c>
      <c r="F146" s="471">
        <f>+F147</f>
        <v>0</v>
      </c>
      <c r="G146" s="537">
        <f>+G147</f>
        <v>0</v>
      </c>
      <c r="H146" s="537">
        <f>+H147</f>
        <v>10269.200000000001</v>
      </c>
      <c r="I146" s="537">
        <f>+I147</f>
        <v>10269.200000000001</v>
      </c>
      <c r="J146" s="537">
        <f>+J147</f>
        <v>10269.200000000001</v>
      </c>
    </row>
    <row r="147" spans="1:10" outlineLevel="1">
      <c r="A147" s="359"/>
      <c r="B147" s="378"/>
      <c r="C147" s="412"/>
      <c r="D147" s="411"/>
      <c r="E147" s="548"/>
      <c r="F147" s="548">
        <v>0</v>
      </c>
      <c r="G147" s="549">
        <v>0</v>
      </c>
      <c r="H147" s="549">
        <v>10269.200000000001</v>
      </c>
      <c r="I147" s="549">
        <v>10269.200000000001</v>
      </c>
      <c r="J147" s="552">
        <v>10269.200000000001</v>
      </c>
    </row>
    <row r="148" spans="1:10" ht="38.25" outlineLevel="1">
      <c r="A148" s="359"/>
      <c r="B148" s="378">
        <v>1045</v>
      </c>
      <c r="C148" s="542" t="s">
        <v>413</v>
      </c>
      <c r="D148" s="403" t="s">
        <v>413</v>
      </c>
      <c r="E148" s="540" t="s">
        <v>449</v>
      </c>
      <c r="F148" s="471">
        <f>+F149</f>
        <v>0</v>
      </c>
      <c r="G148" s="537">
        <f>+G149</f>
        <v>0</v>
      </c>
      <c r="H148" s="537">
        <f>+H149</f>
        <v>29297</v>
      </c>
      <c r="I148" s="537">
        <f>+I149</f>
        <v>43945</v>
      </c>
      <c r="J148" s="537">
        <f>+J149</f>
        <v>58594</v>
      </c>
    </row>
    <row r="149" spans="1:10" outlineLevel="1">
      <c r="A149" s="359"/>
      <c r="B149" s="378"/>
      <c r="C149" s="412"/>
      <c r="D149" s="411"/>
      <c r="E149" s="548"/>
      <c r="F149" s="548">
        <v>0</v>
      </c>
      <c r="G149" s="549">
        <v>0</v>
      </c>
      <c r="H149" s="549">
        <v>29297</v>
      </c>
      <c r="I149" s="549">
        <v>43945</v>
      </c>
      <c r="J149" s="552">
        <v>58594</v>
      </c>
    </row>
    <row r="150" spans="1:10" ht="25.5" outlineLevel="1">
      <c r="A150" s="359"/>
      <c r="B150" s="378">
        <v>1045</v>
      </c>
      <c r="C150" s="542" t="s">
        <v>413</v>
      </c>
      <c r="D150" s="403" t="s">
        <v>413</v>
      </c>
      <c r="E150" s="540" t="s">
        <v>450</v>
      </c>
      <c r="F150" s="471">
        <f>+F151</f>
        <v>0</v>
      </c>
      <c r="G150" s="537">
        <f>+G151</f>
        <v>0</v>
      </c>
      <c r="H150" s="537">
        <f>+H151</f>
        <v>376024.8</v>
      </c>
      <c r="I150" s="537">
        <f>+I151</f>
        <v>470031</v>
      </c>
      <c r="J150" s="537">
        <f>+J151</f>
        <v>564037.19999999995</v>
      </c>
    </row>
    <row r="151" spans="1:10" outlineLevel="1">
      <c r="A151" s="359"/>
      <c r="B151" s="378"/>
      <c r="C151" s="412"/>
      <c r="D151" s="411"/>
      <c r="E151" s="548"/>
      <c r="F151" s="548">
        <v>0</v>
      </c>
      <c r="G151" s="549">
        <v>0</v>
      </c>
      <c r="H151" s="549">
        <v>376024.8</v>
      </c>
      <c r="I151" s="549">
        <v>470031</v>
      </c>
      <c r="J151" s="552">
        <v>564037.19999999995</v>
      </c>
    </row>
    <row r="152" spans="1:10" ht="51" outlineLevel="1">
      <c r="A152" s="359"/>
      <c r="B152" s="378">
        <v>1045</v>
      </c>
      <c r="C152" s="542" t="s">
        <v>413</v>
      </c>
      <c r="D152" s="403" t="s">
        <v>413</v>
      </c>
      <c r="E152" s="540" t="s">
        <v>454</v>
      </c>
      <c r="F152" s="471">
        <v>0</v>
      </c>
      <c r="G152" s="537">
        <v>0</v>
      </c>
      <c r="H152" s="537">
        <v>0</v>
      </c>
      <c r="I152" s="537">
        <f>+I153</f>
        <v>222622</v>
      </c>
      <c r="J152" s="537">
        <f>+J153</f>
        <v>0</v>
      </c>
    </row>
    <row r="153" spans="1:10" outlineLevel="1">
      <c r="A153" s="359"/>
      <c r="B153" s="378"/>
      <c r="C153" s="412"/>
      <c r="D153" s="411"/>
      <c r="E153" s="548"/>
      <c r="F153" s="548">
        <v>0</v>
      </c>
      <c r="G153" s="549">
        <v>0</v>
      </c>
      <c r="H153" s="549">
        <v>0</v>
      </c>
      <c r="I153" s="549">
        <v>222622</v>
      </c>
      <c r="J153" s="552">
        <v>0</v>
      </c>
    </row>
    <row r="154" spans="1:10" ht="25.5" outlineLevel="1">
      <c r="A154" s="359"/>
      <c r="B154" s="378">
        <v>1045</v>
      </c>
      <c r="C154" s="542" t="s">
        <v>413</v>
      </c>
      <c r="D154" s="403" t="s">
        <v>413</v>
      </c>
      <c r="E154" s="540" t="s">
        <v>1220</v>
      </c>
      <c r="F154" s="471">
        <f>+F155</f>
        <v>0</v>
      </c>
      <c r="G154" s="537">
        <f>+G155</f>
        <v>0</v>
      </c>
      <c r="H154" s="537">
        <f>+H155</f>
        <v>0</v>
      </c>
      <c r="I154" s="537">
        <f>+I155</f>
        <v>54993.8</v>
      </c>
      <c r="J154" s="537">
        <f>+J155</f>
        <v>71118.8</v>
      </c>
    </row>
    <row r="155" spans="1:10" outlineLevel="1">
      <c r="A155" s="359"/>
      <c r="B155" s="378"/>
      <c r="C155" s="412"/>
      <c r="D155" s="411"/>
      <c r="E155" s="548"/>
      <c r="F155" s="548">
        <v>0</v>
      </c>
      <c r="G155" s="549">
        <v>0</v>
      </c>
      <c r="H155" s="549">
        <v>0</v>
      </c>
      <c r="I155" s="549">
        <v>54993.8</v>
      </c>
      <c r="J155" s="552">
        <v>71118.8</v>
      </c>
    </row>
    <row r="156" spans="1:10" ht="38.25" outlineLevel="1">
      <c r="A156" s="359"/>
      <c r="B156" s="378">
        <v>1045</v>
      </c>
      <c r="C156" s="542" t="s">
        <v>413</v>
      </c>
      <c r="D156" s="403" t="s">
        <v>413</v>
      </c>
      <c r="E156" s="540" t="s">
        <v>456</v>
      </c>
      <c r="F156" s="471">
        <v>0</v>
      </c>
      <c r="G156" s="537">
        <v>0</v>
      </c>
      <c r="H156" s="537">
        <v>0</v>
      </c>
      <c r="I156" s="537">
        <v>281250</v>
      </c>
      <c r="J156" s="537">
        <v>562500</v>
      </c>
    </row>
    <row r="157" spans="1:10" outlineLevel="1">
      <c r="A157" s="359"/>
      <c r="B157" s="378"/>
      <c r="C157" s="412"/>
      <c r="D157" s="411"/>
      <c r="E157" s="548"/>
      <c r="F157" s="548">
        <v>0</v>
      </c>
      <c r="G157" s="549">
        <v>0</v>
      </c>
      <c r="H157" s="549">
        <v>0</v>
      </c>
      <c r="I157" s="549">
        <v>281250</v>
      </c>
      <c r="J157" s="552">
        <v>562500</v>
      </c>
    </row>
    <row r="158" spans="1:10" outlineLevel="1">
      <c r="A158" s="359"/>
      <c r="B158" s="378">
        <v>1045</v>
      </c>
      <c r="C158" s="542" t="s">
        <v>413</v>
      </c>
      <c r="D158" s="403" t="s">
        <v>413</v>
      </c>
      <c r="E158" s="540" t="s">
        <v>729</v>
      </c>
      <c r="F158" s="471">
        <f>+F159</f>
        <v>0</v>
      </c>
      <c r="G158" s="537">
        <f>+G159</f>
        <v>0</v>
      </c>
      <c r="H158" s="537">
        <f>+H159</f>
        <v>0</v>
      </c>
      <c r="I158" s="537">
        <f>+I159</f>
        <v>742073.8</v>
      </c>
      <c r="J158" s="537">
        <f>+J159</f>
        <v>930086.2</v>
      </c>
    </row>
    <row r="159" spans="1:10" outlineLevel="1">
      <c r="A159" s="359"/>
      <c r="B159" s="378"/>
      <c r="C159" s="412"/>
      <c r="D159" s="413"/>
      <c r="E159" s="550"/>
      <c r="F159" s="551">
        <v>0</v>
      </c>
      <c r="G159" s="552">
        <v>0</v>
      </c>
      <c r="H159" s="552">
        <v>0</v>
      </c>
      <c r="I159" s="552">
        <v>742073.8</v>
      </c>
      <c r="J159" s="552">
        <v>930086.2</v>
      </c>
    </row>
    <row r="160" spans="1:10" s="587" customFormat="1" ht="63.75">
      <c r="A160" s="584"/>
      <c r="B160" s="378">
        <v>1045</v>
      </c>
      <c r="C160" s="542" t="s">
        <v>465</v>
      </c>
      <c r="D160" s="403"/>
      <c r="E160" s="540" t="s">
        <v>1223</v>
      </c>
      <c r="F160" s="391">
        <f>+F161+F162</f>
        <v>0</v>
      </c>
      <c r="G160" s="391">
        <f>+G161+G162</f>
        <v>0</v>
      </c>
      <c r="H160" s="586">
        <f>+H161+H162</f>
        <v>18000</v>
      </c>
      <c r="I160" s="586">
        <f>+I161+I162</f>
        <v>30000</v>
      </c>
      <c r="J160" s="391">
        <f>+J161+J162</f>
        <v>30000</v>
      </c>
    </row>
    <row r="161" spans="1:10" s="486" customFormat="1" ht="38.25">
      <c r="A161" s="482"/>
      <c r="B161" s="474"/>
      <c r="C161" s="475"/>
      <c r="D161" s="475">
        <v>4637</v>
      </c>
      <c r="E161" s="475" t="s">
        <v>1121</v>
      </c>
      <c r="F161" s="398">
        <v>0</v>
      </c>
      <c r="G161" s="398">
        <v>0</v>
      </c>
      <c r="H161" s="398">
        <v>9000</v>
      </c>
      <c r="I161" s="398">
        <v>15000</v>
      </c>
      <c r="J161" s="398">
        <v>15000</v>
      </c>
    </row>
    <row r="162" spans="1:10" s="486" customFormat="1" ht="38.25">
      <c r="A162" s="482"/>
      <c r="B162" s="474"/>
      <c r="C162" s="475"/>
      <c r="D162" s="475">
        <v>4655</v>
      </c>
      <c r="E162" s="475" t="s">
        <v>1162</v>
      </c>
      <c r="F162" s="398">
        <v>0</v>
      </c>
      <c r="G162" s="398">
        <v>0</v>
      </c>
      <c r="H162" s="398">
        <v>9000</v>
      </c>
      <c r="I162" s="398">
        <v>15000</v>
      </c>
      <c r="J162" s="398">
        <v>15000</v>
      </c>
    </row>
    <row r="163" spans="1:10" s="543" customFormat="1">
      <c r="A163" s="574">
        <v>3</v>
      </c>
      <c r="B163" s="544">
        <v>1056</v>
      </c>
      <c r="C163" s="578" t="s">
        <v>460</v>
      </c>
      <c r="D163" s="490"/>
      <c r="E163" s="579"/>
      <c r="F163" s="376">
        <f>SUM(F164,F166,F168,F170)</f>
        <v>825164.1100000001</v>
      </c>
      <c r="G163" s="497">
        <f>SUM(G164,G166,G168,G170,G174,G176)</f>
        <v>849723.3</v>
      </c>
      <c r="H163" s="497">
        <f t="shared" ref="H163:J163" si="6">SUM(H164,H166,H168,H170,H174,H176)</f>
        <v>2085043.1</v>
      </c>
      <c r="I163" s="497">
        <f t="shared" si="6"/>
        <v>1756009.8</v>
      </c>
      <c r="J163" s="497">
        <f t="shared" si="6"/>
        <v>2074411.2</v>
      </c>
    </row>
    <row r="164" spans="1:10">
      <c r="A164" s="408"/>
      <c r="B164" s="378">
        <v>1056</v>
      </c>
      <c r="C164" s="379">
        <v>11001</v>
      </c>
      <c r="D164" s="379"/>
      <c r="E164" s="380" t="s">
        <v>461</v>
      </c>
      <c r="F164" s="388">
        <f>+F165</f>
        <v>476680.8</v>
      </c>
      <c r="G164" s="500">
        <f>+G165</f>
        <v>478882</v>
      </c>
      <c r="H164" s="500">
        <f>+H165</f>
        <v>478882</v>
      </c>
      <c r="I164" s="500">
        <f>+I165</f>
        <v>526770.19999999995</v>
      </c>
      <c r="J164" s="500">
        <f>+J165</f>
        <v>579447.19999999995</v>
      </c>
    </row>
    <row r="165" spans="1:10" s="387" customFormat="1" ht="38.25">
      <c r="A165" s="395"/>
      <c r="B165" s="383"/>
      <c r="C165" s="384"/>
      <c r="D165" s="385">
        <v>4637</v>
      </c>
      <c r="E165" s="385" t="s">
        <v>1121</v>
      </c>
      <c r="F165" s="389">
        <v>476680.8</v>
      </c>
      <c r="G165" s="501">
        <v>478882</v>
      </c>
      <c r="H165" s="501">
        <v>478882</v>
      </c>
      <c r="I165" s="501">
        <v>526770.19999999995</v>
      </c>
      <c r="J165" s="501">
        <v>579447.19999999995</v>
      </c>
    </row>
    <row r="166" spans="1:10" ht="25.5">
      <c r="A166" s="408"/>
      <c r="B166" s="378">
        <v>1056</v>
      </c>
      <c r="C166" s="379">
        <v>11002</v>
      </c>
      <c r="D166" s="379"/>
      <c r="E166" s="393" t="s">
        <v>1211</v>
      </c>
      <c r="F166" s="388">
        <f>+F167</f>
        <v>75723.790000000008</v>
      </c>
      <c r="G166" s="500">
        <f>+G167</f>
        <v>93529.600000000006</v>
      </c>
      <c r="H166" s="500">
        <f>+H167</f>
        <v>103000</v>
      </c>
      <c r="I166" s="500">
        <f>+I167</f>
        <v>112470.39999999999</v>
      </c>
      <c r="J166" s="500">
        <f>+J167</f>
        <v>121940.8</v>
      </c>
    </row>
    <row r="167" spans="1:10" s="387" customFormat="1" ht="38.25">
      <c r="A167" s="395"/>
      <c r="B167" s="383"/>
      <c r="C167" s="384"/>
      <c r="D167" s="385">
        <v>4637</v>
      </c>
      <c r="E167" s="385" t="s">
        <v>1121</v>
      </c>
      <c r="F167" s="389">
        <v>75723.790000000008</v>
      </c>
      <c r="G167" s="501">
        <v>93529.600000000006</v>
      </c>
      <c r="H167" s="501">
        <v>103000</v>
      </c>
      <c r="I167" s="501">
        <v>112470.39999999999</v>
      </c>
      <c r="J167" s="501">
        <v>121940.8</v>
      </c>
    </row>
    <row r="168" spans="1:10">
      <c r="A168" s="408"/>
      <c r="B168" s="378">
        <v>1056</v>
      </c>
      <c r="C168" s="379">
        <v>11003</v>
      </c>
      <c r="D168" s="379"/>
      <c r="E168" s="393" t="s">
        <v>1212</v>
      </c>
      <c r="F168" s="388">
        <f>+F169</f>
        <v>200261.2</v>
      </c>
      <c r="G168" s="500">
        <f>+G169</f>
        <v>204515.20000000001</v>
      </c>
      <c r="H168" s="500">
        <f>+H169</f>
        <v>204515.20000000001</v>
      </c>
      <c r="I168" s="500">
        <f>+I169</f>
        <v>208769.2</v>
      </c>
      <c r="J168" s="500">
        <f>+J169</f>
        <v>213023.2</v>
      </c>
    </row>
    <row r="169" spans="1:10" s="387" customFormat="1" ht="38.25">
      <c r="A169" s="395"/>
      <c r="B169" s="383"/>
      <c r="C169" s="384"/>
      <c r="D169" s="385">
        <v>4637</v>
      </c>
      <c r="E169" s="385" t="s">
        <v>1121</v>
      </c>
      <c r="F169" s="389">
        <v>200261.2</v>
      </c>
      <c r="G169" s="501">
        <v>204515.20000000001</v>
      </c>
      <c r="H169" s="501">
        <v>204515.20000000001</v>
      </c>
      <c r="I169" s="501">
        <v>208769.2</v>
      </c>
      <c r="J169" s="501">
        <v>213023.2</v>
      </c>
    </row>
    <row r="170" spans="1:10">
      <c r="A170" s="408"/>
      <c r="B170" s="378">
        <v>1056</v>
      </c>
      <c r="C170" s="379">
        <v>11005</v>
      </c>
      <c r="D170" s="379"/>
      <c r="E170" s="393" t="s">
        <v>464</v>
      </c>
      <c r="F170" s="388">
        <f>+F171+F172+F173</f>
        <v>72498.320000000007</v>
      </c>
      <c r="G170" s="500">
        <f>+G171+G172+G173</f>
        <v>72796.5</v>
      </c>
      <c r="H170" s="500">
        <f>+H171+H172+H173</f>
        <v>125000</v>
      </c>
      <c r="I170" s="500">
        <f>+I171+I172+I173</f>
        <v>208000</v>
      </c>
      <c r="J170" s="500">
        <f>+J171+J172+J173</f>
        <v>260000</v>
      </c>
    </row>
    <row r="171" spans="1:10" s="387" customFormat="1" ht="38.25">
      <c r="A171" s="395"/>
      <c r="B171" s="383"/>
      <c r="C171" s="384"/>
      <c r="D171" s="385">
        <v>4637</v>
      </c>
      <c r="E171" s="385" t="s">
        <v>1121</v>
      </c>
      <c r="F171" s="389">
        <v>7398.73</v>
      </c>
      <c r="G171" s="501">
        <v>15000</v>
      </c>
      <c r="H171" s="501">
        <v>20000</v>
      </c>
      <c r="I171" s="501">
        <v>42000</v>
      </c>
      <c r="J171" s="501">
        <v>52000</v>
      </c>
    </row>
    <row r="172" spans="1:10" s="387" customFormat="1">
      <c r="A172" s="395"/>
      <c r="B172" s="383"/>
      <c r="C172" s="384"/>
      <c r="D172" s="385">
        <v>4639</v>
      </c>
      <c r="E172" s="385" t="s">
        <v>1119</v>
      </c>
      <c r="F172" s="389">
        <v>63226.29</v>
      </c>
      <c r="G172" s="501">
        <v>55000</v>
      </c>
      <c r="H172" s="501">
        <v>100000</v>
      </c>
      <c r="I172" s="501">
        <v>160000</v>
      </c>
      <c r="J172" s="501">
        <v>200000</v>
      </c>
    </row>
    <row r="173" spans="1:10" s="387" customFormat="1">
      <c r="A173" s="395"/>
      <c r="B173" s="383"/>
      <c r="C173" s="384"/>
      <c r="D173" s="385">
        <v>4729</v>
      </c>
      <c r="E173" s="385" t="s">
        <v>1125</v>
      </c>
      <c r="F173" s="389">
        <v>1873.3</v>
      </c>
      <c r="G173" s="501">
        <v>2796.5</v>
      </c>
      <c r="H173" s="501">
        <v>5000</v>
      </c>
      <c r="I173" s="501">
        <v>6000</v>
      </c>
      <c r="J173" s="501">
        <v>8000</v>
      </c>
    </row>
    <row r="174" spans="1:10">
      <c r="A174" s="408"/>
      <c r="B174" s="414">
        <v>1056</v>
      </c>
      <c r="C174" s="401">
        <v>32002</v>
      </c>
      <c r="D174" s="401"/>
      <c r="E174" s="590" t="s">
        <v>1233</v>
      </c>
      <c r="F174" s="417" t="e">
        <f>+F175</f>
        <v>#REF!</v>
      </c>
      <c r="G174" s="522">
        <f>+G175</f>
        <v>0</v>
      </c>
      <c r="H174" s="522">
        <f>+H175</f>
        <v>824595.9</v>
      </c>
      <c r="I174" s="522">
        <f>+I175</f>
        <v>0</v>
      </c>
      <c r="J174" s="522">
        <f>+J175</f>
        <v>0</v>
      </c>
    </row>
    <row r="175" spans="1:10">
      <c r="A175" s="408"/>
      <c r="B175" s="414"/>
      <c r="C175" s="401"/>
      <c r="D175" s="384">
        <v>5129</v>
      </c>
      <c r="E175" s="385" t="s">
        <v>1193</v>
      </c>
      <c r="F175" s="385" t="e">
        <f>+#REF!</f>
        <v>#REF!</v>
      </c>
      <c r="G175" s="508">
        <v>0</v>
      </c>
      <c r="H175" s="553">
        <f>34860+789735.9</f>
        <v>824595.9</v>
      </c>
      <c r="I175" s="553">
        <v>0</v>
      </c>
      <c r="J175" s="553">
        <v>0</v>
      </c>
    </row>
    <row r="176" spans="1:10">
      <c r="A176" s="408"/>
      <c r="B176" s="414">
        <v>1056</v>
      </c>
      <c r="C176" s="542" t="s">
        <v>413</v>
      </c>
      <c r="D176" s="415"/>
      <c r="E176" s="416" t="s">
        <v>466</v>
      </c>
      <c r="F176" s="417"/>
      <c r="G176" s="500">
        <f>+G177</f>
        <v>0</v>
      </c>
      <c r="H176" s="500">
        <f>+H177</f>
        <v>349050</v>
      </c>
      <c r="I176" s="500">
        <f>+I177</f>
        <v>700000</v>
      </c>
      <c r="J176" s="500">
        <f>+J177</f>
        <v>900000</v>
      </c>
    </row>
    <row r="177" spans="1:10">
      <c r="A177" s="408"/>
      <c r="B177" s="414"/>
      <c r="D177" s="385"/>
      <c r="E177" s="385" t="s">
        <v>1125</v>
      </c>
      <c r="F177" s="385"/>
      <c r="G177" s="508">
        <v>0</v>
      </c>
      <c r="H177" s="501">
        <v>349050</v>
      </c>
      <c r="I177" s="501">
        <v>700000</v>
      </c>
      <c r="J177" s="501">
        <v>900000</v>
      </c>
    </row>
    <row r="178" spans="1:10" s="543" customFormat="1">
      <c r="A178" s="574">
        <v>4</v>
      </c>
      <c r="B178" s="555">
        <v>1075</v>
      </c>
      <c r="C178" s="580" t="s">
        <v>467</v>
      </c>
      <c r="D178" s="556"/>
      <c r="E178" s="580"/>
      <c r="F178" s="376">
        <f>SUM(F179,F181,F183,F186,F205,F208,F209,F211,F213,F216,F218,F222,F223,F224,F225,F232,F234,F235)</f>
        <v>3849590.2100000009</v>
      </c>
      <c r="G178" s="497">
        <f>SUM(G179,G181,G183,G186,G205,G208,G209,G211,G213,G216,G218,G222,G223,G224,G225,G232,G234,G235,G237,G239)</f>
        <v>5037835.2</v>
      </c>
      <c r="H178" s="497">
        <f t="shared" ref="H178:J178" si="7">SUM(H179,H181,H183,H186,H205,H208,H209,H211,H213,H216,H218,H222,H223,H224,H225,H232,H234,H235,H237,H239)</f>
        <v>6140963.4509738227</v>
      </c>
      <c r="I178" s="497">
        <f t="shared" si="7"/>
        <v>6425541.1225343235</v>
      </c>
      <c r="J178" s="497">
        <f t="shared" si="7"/>
        <v>6345695.4497318501</v>
      </c>
    </row>
    <row r="179" spans="1:10" ht="25.5">
      <c r="A179" s="408"/>
      <c r="B179" s="373">
        <v>1075</v>
      </c>
      <c r="C179" s="392">
        <v>11001</v>
      </c>
      <c r="D179" s="392"/>
      <c r="E179" s="393" t="s">
        <v>468</v>
      </c>
      <c r="F179" s="419">
        <f>+F180</f>
        <v>101058.8</v>
      </c>
      <c r="G179" s="509">
        <f>+G180</f>
        <v>100705.2</v>
      </c>
      <c r="H179" s="509">
        <f>+H180</f>
        <v>129808.6</v>
      </c>
      <c r="I179" s="509">
        <f>+I180</f>
        <v>129808.6</v>
      </c>
      <c r="J179" s="509">
        <f>+J180</f>
        <v>129808.6</v>
      </c>
    </row>
    <row r="180" spans="1:10" s="387" customFormat="1" ht="38.25">
      <c r="A180" s="395"/>
      <c r="B180" s="396"/>
      <c r="C180" s="385"/>
      <c r="D180" s="385">
        <v>4637</v>
      </c>
      <c r="E180" s="385" t="s">
        <v>1121</v>
      </c>
      <c r="F180" s="389">
        <v>101058.8</v>
      </c>
      <c r="G180" s="501">
        <v>100705.2</v>
      </c>
      <c r="H180" s="501">
        <v>129808.6</v>
      </c>
      <c r="I180" s="501">
        <v>129808.6</v>
      </c>
      <c r="J180" s="501">
        <v>129808.6</v>
      </c>
    </row>
    <row r="181" spans="1:10" ht="25.5">
      <c r="A181" s="408"/>
      <c r="B181" s="373">
        <v>1075</v>
      </c>
      <c r="C181" s="392">
        <v>11002</v>
      </c>
      <c r="D181" s="392"/>
      <c r="E181" s="393" t="s">
        <v>469</v>
      </c>
      <c r="F181" s="419">
        <f>+F182</f>
        <v>28073.17</v>
      </c>
      <c r="G181" s="509">
        <f>+G182</f>
        <v>34940.6</v>
      </c>
      <c r="H181" s="509">
        <f>+H182</f>
        <v>40700.6</v>
      </c>
      <c r="I181" s="509">
        <f>+I182</f>
        <v>40700.6</v>
      </c>
      <c r="J181" s="509">
        <f>+J182</f>
        <v>40700.6</v>
      </c>
    </row>
    <row r="182" spans="1:10" s="387" customFormat="1" ht="38.25">
      <c r="A182" s="395"/>
      <c r="B182" s="396"/>
      <c r="C182" s="385"/>
      <c r="D182" s="385">
        <v>4637</v>
      </c>
      <c r="E182" s="385" t="s">
        <v>1121</v>
      </c>
      <c r="F182" s="389">
        <v>28073.17</v>
      </c>
      <c r="G182" s="501">
        <v>34940.6</v>
      </c>
      <c r="H182" s="501">
        <v>40700.6</v>
      </c>
      <c r="I182" s="501">
        <v>40700.6</v>
      </c>
      <c r="J182" s="501">
        <v>40700.6</v>
      </c>
    </row>
    <row r="183" spans="1:10" ht="25.5">
      <c r="A183" s="408"/>
      <c r="B183" s="373">
        <v>1075</v>
      </c>
      <c r="C183" s="392">
        <v>11003</v>
      </c>
      <c r="D183" s="392"/>
      <c r="E183" s="393" t="s">
        <v>470</v>
      </c>
      <c r="F183" s="419">
        <f>+F184+F185</f>
        <v>69256.5</v>
      </c>
      <c r="G183" s="509">
        <f>+G184+G185</f>
        <v>79102.5</v>
      </c>
      <c r="H183" s="509">
        <f>+H184+H185</f>
        <v>73342.5</v>
      </c>
      <c r="I183" s="509">
        <f>+I184+I185</f>
        <v>73342.5</v>
      </c>
      <c r="J183" s="509">
        <f>+J184+J185</f>
        <v>73342.5</v>
      </c>
    </row>
    <row r="184" spans="1:10" s="387" customFormat="1" ht="38.25">
      <c r="A184" s="395"/>
      <c r="B184" s="396"/>
      <c r="C184" s="385"/>
      <c r="D184" s="385">
        <v>4637</v>
      </c>
      <c r="E184" s="385" t="s">
        <v>1121</v>
      </c>
      <c r="F184" s="389">
        <v>0</v>
      </c>
      <c r="G184" s="501">
        <v>5760</v>
      </c>
      <c r="H184" s="501">
        <v>0</v>
      </c>
      <c r="I184" s="501">
        <v>0</v>
      </c>
      <c r="J184" s="501">
        <v>0</v>
      </c>
    </row>
    <row r="185" spans="1:10" s="387" customFormat="1">
      <c r="A185" s="395"/>
      <c r="B185" s="396"/>
      <c r="C185" s="385"/>
      <c r="D185" s="385">
        <v>4639</v>
      </c>
      <c r="E185" s="385" t="s">
        <v>1119</v>
      </c>
      <c r="F185" s="389">
        <v>69256.5</v>
      </c>
      <c r="G185" s="501">
        <v>73342.5</v>
      </c>
      <c r="H185" s="501">
        <v>73342.5</v>
      </c>
      <c r="I185" s="501">
        <v>73342.5</v>
      </c>
      <c r="J185" s="501">
        <v>73342.5</v>
      </c>
    </row>
    <row r="186" spans="1:10">
      <c r="A186" s="408"/>
      <c r="B186" s="373">
        <v>1075</v>
      </c>
      <c r="C186" s="392">
        <v>11004</v>
      </c>
      <c r="D186" s="392"/>
      <c r="E186" s="393" t="s">
        <v>471</v>
      </c>
      <c r="F186" s="419">
        <f>SUM(F187,F189,F191,F193,F195,F197,F199,F201,F203)</f>
        <v>2581724.31</v>
      </c>
      <c r="G186" s="509">
        <f>SUM(G187,G189,G191,G193,G195,G197,G199,G201,G203)</f>
        <v>2784021.3000000003</v>
      </c>
      <c r="H186" s="509">
        <f>SUM(H187,H189,H191,H193,H195,H197,H199,H201,H203)</f>
        <v>2833580.7</v>
      </c>
      <c r="I186" s="509">
        <f>SUM(I187,I189,I191,I193,I195,I197,I199,I201,I203)</f>
        <v>2770493.1</v>
      </c>
      <c r="J186" s="509">
        <f>SUM(J187,J189,J191,J193,J195,J197,J199,J201,J203)</f>
        <v>2750201.1</v>
      </c>
    </row>
    <row r="187" spans="1:10" ht="25.5">
      <c r="A187" s="408"/>
      <c r="B187" s="373"/>
      <c r="C187" s="385"/>
      <c r="D187" s="392"/>
      <c r="E187" s="428" t="s">
        <v>24</v>
      </c>
      <c r="F187" s="545">
        <f>+F188</f>
        <v>297759.3</v>
      </c>
      <c r="G187" s="507">
        <f>+G188</f>
        <v>0</v>
      </c>
      <c r="H187" s="507">
        <f>+H188</f>
        <v>0</v>
      </c>
      <c r="I187" s="507">
        <f>+I188</f>
        <v>0</v>
      </c>
      <c r="J187" s="507">
        <f>+J188</f>
        <v>0</v>
      </c>
    </row>
    <row r="188" spans="1:10" s="387" customFormat="1" ht="38.25">
      <c r="A188" s="395"/>
      <c r="B188" s="396"/>
      <c r="C188" s="385"/>
      <c r="D188" s="385">
        <v>4637</v>
      </c>
      <c r="E188" s="385" t="s">
        <v>1121</v>
      </c>
      <c r="F188" s="389">
        <v>297759.3</v>
      </c>
      <c r="G188" s="501">
        <v>0</v>
      </c>
      <c r="H188" s="501">
        <v>0</v>
      </c>
      <c r="I188" s="501">
        <v>0</v>
      </c>
      <c r="J188" s="501">
        <v>0</v>
      </c>
    </row>
    <row r="189" spans="1:10" ht="25.5">
      <c r="A189" s="408"/>
      <c r="B189" s="373"/>
      <c r="C189" s="392"/>
      <c r="D189" s="392"/>
      <c r="E189" s="428" t="s">
        <v>1123</v>
      </c>
      <c r="F189" s="545">
        <f>+F190</f>
        <v>2094501.22</v>
      </c>
      <c r="G189" s="507">
        <f>+G190</f>
        <v>2542876.6</v>
      </c>
      <c r="H189" s="507">
        <f>+H190</f>
        <v>2579401.6</v>
      </c>
      <c r="I189" s="507">
        <f>+I190</f>
        <v>2516314</v>
      </c>
      <c r="J189" s="507">
        <f>+J190</f>
        <v>2496022</v>
      </c>
    </row>
    <row r="190" spans="1:10" s="387" customFormat="1" ht="38.25">
      <c r="A190" s="395"/>
      <c r="B190" s="396"/>
      <c r="C190" s="385"/>
      <c r="D190" s="385">
        <v>4637</v>
      </c>
      <c r="E190" s="385" t="s">
        <v>1121</v>
      </c>
      <c r="F190" s="389">
        <v>2094501.22</v>
      </c>
      <c r="G190" s="501">
        <v>2542876.6</v>
      </c>
      <c r="H190" s="501">
        <v>2579401.6</v>
      </c>
      <c r="I190" s="501">
        <v>2516314</v>
      </c>
      <c r="J190" s="501">
        <v>2496022</v>
      </c>
    </row>
    <row r="191" spans="1:10">
      <c r="A191" s="408"/>
      <c r="B191" s="373"/>
      <c r="C191" s="392"/>
      <c r="D191" s="392"/>
      <c r="E191" s="428" t="s">
        <v>1129</v>
      </c>
      <c r="F191" s="545">
        <f>+F192</f>
        <v>46256.639999999999</v>
      </c>
      <c r="G191" s="507">
        <f>+G192</f>
        <v>55868</v>
      </c>
      <c r="H191" s="507">
        <f>+H192</f>
        <v>55868</v>
      </c>
      <c r="I191" s="507">
        <f>+I192</f>
        <v>55868</v>
      </c>
      <c r="J191" s="507">
        <f>+J192</f>
        <v>55868</v>
      </c>
    </row>
    <row r="192" spans="1:10" s="387" customFormat="1" ht="38.25">
      <c r="A192" s="395"/>
      <c r="B192" s="396"/>
      <c r="C192" s="385"/>
      <c r="D192" s="385">
        <v>4637</v>
      </c>
      <c r="E192" s="385" t="s">
        <v>1121</v>
      </c>
      <c r="F192" s="389">
        <v>46256.639999999999</v>
      </c>
      <c r="G192" s="501">
        <v>55868</v>
      </c>
      <c r="H192" s="501">
        <v>55868</v>
      </c>
      <c r="I192" s="501">
        <v>55868</v>
      </c>
      <c r="J192" s="501">
        <v>55868</v>
      </c>
    </row>
    <row r="193" spans="1:10">
      <c r="A193" s="408"/>
      <c r="B193" s="373"/>
      <c r="C193" s="392"/>
      <c r="D193" s="392"/>
      <c r="E193" s="428" t="s">
        <v>1142</v>
      </c>
      <c r="F193" s="545">
        <f>+F194</f>
        <v>18210.75</v>
      </c>
      <c r="G193" s="507">
        <f>+G194</f>
        <v>23091.7</v>
      </c>
      <c r="H193" s="507">
        <f>+H194</f>
        <v>32826.1</v>
      </c>
      <c r="I193" s="507">
        <f>+I194</f>
        <v>32826.1</v>
      </c>
      <c r="J193" s="507">
        <f>+J194</f>
        <v>32826.1</v>
      </c>
    </row>
    <row r="194" spans="1:10" s="387" customFormat="1" ht="38.25">
      <c r="A194" s="395"/>
      <c r="B194" s="396"/>
      <c r="C194" s="385"/>
      <c r="D194" s="385">
        <v>4637</v>
      </c>
      <c r="E194" s="385" t="s">
        <v>1121</v>
      </c>
      <c r="F194" s="389">
        <v>18210.75</v>
      </c>
      <c r="G194" s="501">
        <v>23091.7</v>
      </c>
      <c r="H194" s="501">
        <v>32826.1</v>
      </c>
      <c r="I194" s="501">
        <v>32826.1</v>
      </c>
      <c r="J194" s="501">
        <v>32826.1</v>
      </c>
    </row>
    <row r="195" spans="1:10">
      <c r="A195" s="408"/>
      <c r="B195" s="373"/>
      <c r="C195" s="392"/>
      <c r="D195" s="392"/>
      <c r="E195" s="428" t="s">
        <v>1144</v>
      </c>
      <c r="F195" s="545">
        <f>+F196</f>
        <v>19244.099999999999</v>
      </c>
      <c r="G195" s="507">
        <f>+G196</f>
        <v>23750.400000000001</v>
      </c>
      <c r="H195" s="507">
        <f>+H196</f>
        <v>23750.400000000001</v>
      </c>
      <c r="I195" s="507">
        <f>+I196</f>
        <v>23750.400000000001</v>
      </c>
      <c r="J195" s="507">
        <f>+J196</f>
        <v>23750.400000000001</v>
      </c>
    </row>
    <row r="196" spans="1:10" s="387" customFormat="1" ht="38.25">
      <c r="A196" s="395"/>
      <c r="B196" s="396"/>
      <c r="C196" s="385"/>
      <c r="D196" s="385">
        <v>4637</v>
      </c>
      <c r="E196" s="385" t="s">
        <v>1121</v>
      </c>
      <c r="F196" s="389">
        <v>19244.099999999999</v>
      </c>
      <c r="G196" s="501">
        <v>23750.400000000001</v>
      </c>
      <c r="H196" s="501">
        <v>23750.400000000001</v>
      </c>
      <c r="I196" s="501">
        <v>23750.400000000001</v>
      </c>
      <c r="J196" s="501">
        <v>23750.400000000001</v>
      </c>
    </row>
    <row r="197" spans="1:10">
      <c r="A197" s="408"/>
      <c r="B197" s="373"/>
      <c r="C197" s="392"/>
      <c r="D197" s="392"/>
      <c r="E197" s="428" t="s">
        <v>1145</v>
      </c>
      <c r="F197" s="545">
        <f>+F198</f>
        <v>19302.400000000001</v>
      </c>
      <c r="G197" s="507">
        <f>+G198</f>
        <v>25358</v>
      </c>
      <c r="H197" s="507">
        <f>+H198</f>
        <v>28658</v>
      </c>
      <c r="I197" s="507">
        <f>+I198</f>
        <v>28658</v>
      </c>
      <c r="J197" s="507">
        <f>+J198</f>
        <v>28658</v>
      </c>
    </row>
    <row r="198" spans="1:10" s="387" customFormat="1" ht="38.25">
      <c r="A198" s="395"/>
      <c r="B198" s="396"/>
      <c r="C198" s="385"/>
      <c r="D198" s="385">
        <v>4637</v>
      </c>
      <c r="E198" s="385" t="s">
        <v>1121</v>
      </c>
      <c r="F198" s="389">
        <v>19302.400000000001</v>
      </c>
      <c r="G198" s="501">
        <v>25358</v>
      </c>
      <c r="H198" s="501">
        <v>28658</v>
      </c>
      <c r="I198" s="501">
        <v>28658</v>
      </c>
      <c r="J198" s="501">
        <v>28658</v>
      </c>
    </row>
    <row r="199" spans="1:10">
      <c r="A199" s="408"/>
      <c r="B199" s="373"/>
      <c r="C199" s="392"/>
      <c r="D199" s="392"/>
      <c r="E199" s="428" t="s">
        <v>1147</v>
      </c>
      <c r="F199" s="545">
        <f>+F200</f>
        <v>59740.5</v>
      </c>
      <c r="G199" s="507">
        <f>+G200</f>
        <v>79394.5</v>
      </c>
      <c r="H199" s="507">
        <f>+H200</f>
        <v>79394.5</v>
      </c>
      <c r="I199" s="507">
        <f>+I200</f>
        <v>79394.5</v>
      </c>
      <c r="J199" s="507">
        <f>+J200</f>
        <v>79394.5</v>
      </c>
    </row>
    <row r="200" spans="1:10" s="387" customFormat="1" ht="38.25">
      <c r="A200" s="395"/>
      <c r="B200" s="396"/>
      <c r="C200" s="385"/>
      <c r="D200" s="385">
        <v>4637</v>
      </c>
      <c r="E200" s="385" t="s">
        <v>1121</v>
      </c>
      <c r="F200" s="389">
        <v>59740.5</v>
      </c>
      <c r="G200" s="501">
        <v>79394.5</v>
      </c>
      <c r="H200" s="501">
        <v>79394.5</v>
      </c>
      <c r="I200" s="501">
        <v>79394.5</v>
      </c>
      <c r="J200" s="501">
        <v>79394.5</v>
      </c>
    </row>
    <row r="201" spans="1:10">
      <c r="A201" s="408"/>
      <c r="B201" s="373"/>
      <c r="C201" s="392"/>
      <c r="D201" s="392"/>
      <c r="E201" s="428" t="s">
        <v>1148</v>
      </c>
      <c r="F201" s="545">
        <f>+F202</f>
        <v>12484.1</v>
      </c>
      <c r="G201" s="507">
        <f>+G202</f>
        <v>15858.7</v>
      </c>
      <c r="H201" s="507">
        <f>+H202</f>
        <v>15858.7</v>
      </c>
      <c r="I201" s="507">
        <f>+I202</f>
        <v>15858.7</v>
      </c>
      <c r="J201" s="507">
        <f>+J202</f>
        <v>15858.7</v>
      </c>
    </row>
    <row r="202" spans="1:10" s="387" customFormat="1" ht="38.25">
      <c r="A202" s="395"/>
      <c r="B202" s="396"/>
      <c r="C202" s="385"/>
      <c r="D202" s="385">
        <v>4637</v>
      </c>
      <c r="E202" s="385" t="s">
        <v>1121</v>
      </c>
      <c r="F202" s="389">
        <v>12484.1</v>
      </c>
      <c r="G202" s="501">
        <v>15858.7</v>
      </c>
      <c r="H202" s="501">
        <v>15858.7</v>
      </c>
      <c r="I202" s="501">
        <v>15858.7</v>
      </c>
      <c r="J202" s="501">
        <v>15858.7</v>
      </c>
    </row>
    <row r="203" spans="1:10">
      <c r="A203" s="408"/>
      <c r="B203" s="373"/>
      <c r="C203" s="392"/>
      <c r="D203" s="392"/>
      <c r="E203" s="428" t="s">
        <v>1149</v>
      </c>
      <c r="F203" s="545">
        <f>+F204</f>
        <v>14225.3</v>
      </c>
      <c r="G203" s="507">
        <f>+G204</f>
        <v>17823.400000000001</v>
      </c>
      <c r="H203" s="507">
        <f>+H204</f>
        <v>17823.400000000001</v>
      </c>
      <c r="I203" s="507">
        <f>+I204</f>
        <v>17823.400000000001</v>
      </c>
      <c r="J203" s="507">
        <f>+J204</f>
        <v>17823.400000000001</v>
      </c>
    </row>
    <row r="204" spans="1:10" s="387" customFormat="1" ht="38.25">
      <c r="A204" s="395"/>
      <c r="B204" s="396"/>
      <c r="C204" s="385"/>
      <c r="D204" s="385">
        <v>4637</v>
      </c>
      <c r="E204" s="385" t="s">
        <v>1121</v>
      </c>
      <c r="F204" s="389">
        <v>14225.3</v>
      </c>
      <c r="G204" s="501">
        <v>17823.400000000001</v>
      </c>
      <c r="H204" s="501">
        <v>17823.400000000001</v>
      </c>
      <c r="I204" s="501">
        <v>17823.400000000001</v>
      </c>
      <c r="J204" s="501">
        <v>17823.400000000001</v>
      </c>
    </row>
    <row r="205" spans="1:10" ht="25.5">
      <c r="A205" s="408"/>
      <c r="B205" s="373">
        <v>1075</v>
      </c>
      <c r="C205" s="392">
        <v>11005</v>
      </c>
      <c r="D205" s="392"/>
      <c r="E205" s="393" t="s">
        <v>472</v>
      </c>
      <c r="F205" s="419">
        <f>+F206+F207</f>
        <v>46579.17</v>
      </c>
      <c r="G205" s="509">
        <f>+G206+G207</f>
        <v>52000</v>
      </c>
      <c r="H205" s="509">
        <f>+H206+H207</f>
        <v>52000</v>
      </c>
      <c r="I205" s="500">
        <v>98000</v>
      </c>
      <c r="J205" s="500">
        <v>100000</v>
      </c>
    </row>
    <row r="206" spans="1:10" s="387" customFormat="1" ht="38.25">
      <c r="A206" s="395"/>
      <c r="B206" s="396"/>
      <c r="C206" s="385"/>
      <c r="D206" s="385">
        <v>4637</v>
      </c>
      <c r="E206" s="385" t="s">
        <v>1121</v>
      </c>
      <c r="F206" s="389">
        <v>46579.17</v>
      </c>
      <c r="G206" s="501">
        <v>20800</v>
      </c>
      <c r="H206" s="501">
        <v>20800</v>
      </c>
      <c r="I206" s="501">
        <v>61000</v>
      </c>
      <c r="J206" s="501">
        <v>61000</v>
      </c>
    </row>
    <row r="207" spans="1:10" s="387" customFormat="1">
      <c r="A207" s="395"/>
      <c r="B207" s="396"/>
      <c r="C207" s="385"/>
      <c r="D207" s="385">
        <v>4639</v>
      </c>
      <c r="E207" s="385" t="s">
        <v>1119</v>
      </c>
      <c r="F207" s="389"/>
      <c r="G207" s="501">
        <v>31200</v>
      </c>
      <c r="H207" s="501">
        <v>31200</v>
      </c>
      <c r="I207" s="501">
        <v>37000</v>
      </c>
      <c r="J207" s="501">
        <v>39000</v>
      </c>
    </row>
    <row r="208" spans="1:10" s="394" customFormat="1" ht="51" outlineLevel="1">
      <c r="A208" s="408"/>
      <c r="B208" s="373">
        <v>1075</v>
      </c>
      <c r="C208" s="392">
        <v>11006</v>
      </c>
      <c r="D208" s="392"/>
      <c r="E208" s="393" t="s">
        <v>473</v>
      </c>
      <c r="F208" s="419">
        <v>510</v>
      </c>
      <c r="G208" s="509">
        <v>0</v>
      </c>
      <c r="H208" s="500">
        <v>0</v>
      </c>
      <c r="I208" s="500">
        <v>0</v>
      </c>
      <c r="J208" s="500">
        <v>0</v>
      </c>
    </row>
    <row r="209" spans="1:10" s="394" customFormat="1" ht="25.5">
      <c r="A209" s="408"/>
      <c r="B209" s="373">
        <v>1075</v>
      </c>
      <c r="C209" s="392">
        <v>11007</v>
      </c>
      <c r="D209" s="392"/>
      <c r="E209" s="393" t="s">
        <v>1214</v>
      </c>
      <c r="F209" s="419">
        <f>+F210</f>
        <v>42624.700000000004</v>
      </c>
      <c r="G209" s="509">
        <f>+G210</f>
        <v>50000</v>
      </c>
      <c r="H209" s="509">
        <f>+H210</f>
        <v>50000</v>
      </c>
      <c r="I209" s="509">
        <f>+I210</f>
        <v>65000</v>
      </c>
      <c r="J209" s="509">
        <f>+J210</f>
        <v>70000</v>
      </c>
    </row>
    <row r="210" spans="1:10" s="387" customFormat="1">
      <c r="A210" s="395"/>
      <c r="B210" s="396"/>
      <c r="C210" s="385"/>
      <c r="D210" s="385">
        <v>4639</v>
      </c>
      <c r="E210" s="385" t="s">
        <v>1119</v>
      </c>
      <c r="F210" s="389">
        <v>42624.700000000004</v>
      </c>
      <c r="G210" s="501">
        <v>50000</v>
      </c>
      <c r="H210" s="501">
        <v>50000</v>
      </c>
      <c r="I210" s="501">
        <v>65000</v>
      </c>
      <c r="J210" s="501">
        <v>70000</v>
      </c>
    </row>
    <row r="211" spans="1:10" ht="25.5">
      <c r="A211" s="408"/>
      <c r="B211" s="373">
        <v>1075</v>
      </c>
      <c r="C211" s="392">
        <v>11008</v>
      </c>
      <c r="D211" s="392"/>
      <c r="E211" s="393" t="s">
        <v>476</v>
      </c>
      <c r="F211" s="419">
        <f>+F212</f>
        <v>3745</v>
      </c>
      <c r="G211" s="509">
        <f>+G212</f>
        <v>12000</v>
      </c>
      <c r="H211" s="509">
        <f>+H212</f>
        <v>17000</v>
      </c>
      <c r="I211" s="509">
        <f>+I212</f>
        <v>17000</v>
      </c>
      <c r="J211" s="509">
        <f>+J212</f>
        <v>17000</v>
      </c>
    </row>
    <row r="212" spans="1:10" s="387" customFormat="1" ht="38.25">
      <c r="A212" s="395"/>
      <c r="B212" s="396"/>
      <c r="C212" s="385"/>
      <c r="D212" s="385">
        <v>4637</v>
      </c>
      <c r="E212" s="385" t="s">
        <v>1121</v>
      </c>
      <c r="F212" s="389">
        <v>3745</v>
      </c>
      <c r="G212" s="501">
        <v>12000</v>
      </c>
      <c r="H212" s="501">
        <v>17000</v>
      </c>
      <c r="I212" s="501">
        <v>17000</v>
      </c>
      <c r="J212" s="501">
        <v>17000</v>
      </c>
    </row>
    <row r="213" spans="1:10" ht="25.5">
      <c r="A213" s="408"/>
      <c r="B213" s="373">
        <v>1075</v>
      </c>
      <c r="C213" s="392">
        <v>11009</v>
      </c>
      <c r="D213" s="392"/>
      <c r="E213" s="393" t="s">
        <v>1215</v>
      </c>
      <c r="F213" s="419">
        <f>+F214+F215</f>
        <v>49010</v>
      </c>
      <c r="G213" s="509">
        <f>+G214+G215</f>
        <v>11750.4</v>
      </c>
      <c r="H213" s="509">
        <f t="shared" ref="H213:J213" si="8">+H214+H215</f>
        <v>35251.199999999997</v>
      </c>
      <c r="I213" s="509">
        <f t="shared" si="8"/>
        <v>35251.199999999997</v>
      </c>
      <c r="J213" s="509">
        <f t="shared" si="8"/>
        <v>35251.199999999997</v>
      </c>
    </row>
    <row r="214" spans="1:10" s="387" customFormat="1">
      <c r="A214" s="395"/>
      <c r="B214" s="396"/>
      <c r="C214" s="385"/>
      <c r="D214" s="385">
        <v>4639</v>
      </c>
      <c r="E214" s="385" t="s">
        <v>1119</v>
      </c>
      <c r="F214" s="389">
        <v>49010</v>
      </c>
      <c r="G214" s="501">
        <v>5875.2</v>
      </c>
      <c r="H214" s="501">
        <v>35251.199999999997</v>
      </c>
      <c r="I214" s="501">
        <v>35251.199999999997</v>
      </c>
      <c r="J214" s="501">
        <v>35251.199999999997</v>
      </c>
    </row>
    <row r="215" spans="1:10" s="387" customFormat="1">
      <c r="A215" s="395"/>
      <c r="B215" s="396"/>
      <c r="C215" s="385"/>
      <c r="D215" s="385">
        <v>4200</v>
      </c>
      <c r="E215" s="385" t="s">
        <v>1120</v>
      </c>
      <c r="F215" s="389"/>
      <c r="G215" s="501">
        <v>5875.2</v>
      </c>
      <c r="H215" s="501">
        <v>0</v>
      </c>
      <c r="I215" s="501">
        <v>0</v>
      </c>
      <c r="J215" s="501">
        <v>0</v>
      </c>
    </row>
    <row r="216" spans="1:10" ht="25.5">
      <c r="A216" s="408"/>
      <c r="B216" s="373">
        <v>1075</v>
      </c>
      <c r="C216" s="392">
        <v>11010</v>
      </c>
      <c r="D216" s="392"/>
      <c r="E216" s="393" t="s">
        <v>1216</v>
      </c>
      <c r="F216" s="419">
        <f>+F217</f>
        <v>0</v>
      </c>
      <c r="G216" s="509">
        <f>+G217</f>
        <v>49920</v>
      </c>
      <c r="H216" s="509">
        <f>+H217</f>
        <v>340044</v>
      </c>
      <c r="I216" s="509">
        <f>+I217</f>
        <v>340044</v>
      </c>
      <c r="J216" s="509">
        <f>+J217</f>
        <v>340044</v>
      </c>
    </row>
    <row r="217" spans="1:10" s="387" customFormat="1">
      <c r="A217" s="395"/>
      <c r="B217" s="396"/>
      <c r="C217" s="385"/>
      <c r="D217" s="385">
        <v>4639</v>
      </c>
      <c r="E217" s="385" t="s">
        <v>1119</v>
      </c>
      <c r="F217" s="389">
        <v>0</v>
      </c>
      <c r="G217" s="501">
        <v>49920</v>
      </c>
      <c r="H217" s="501">
        <v>340044</v>
      </c>
      <c r="I217" s="501">
        <v>340044</v>
      </c>
      <c r="J217" s="501">
        <v>340044</v>
      </c>
    </row>
    <row r="218" spans="1:10" ht="25.5">
      <c r="A218" s="408"/>
      <c r="B218" s="420">
        <v>1075</v>
      </c>
      <c r="C218" s="415">
        <v>21001</v>
      </c>
      <c r="D218" s="415"/>
      <c r="E218" s="438" t="s">
        <v>731</v>
      </c>
      <c r="F218" s="417">
        <f>+F219+F220+F221</f>
        <v>357997.22000000003</v>
      </c>
      <c r="G218" s="522">
        <f>+G219+G220+G221</f>
        <v>1158941.8</v>
      </c>
      <c r="H218" s="522">
        <f>+H219+H220+H221</f>
        <v>1758706.3640800002</v>
      </c>
      <c r="I218" s="522">
        <f>+I219+I220+I221</f>
        <v>2050891.6556405001</v>
      </c>
      <c r="J218" s="522">
        <f>+J219+J220+J221</f>
        <v>2369626.7497318499</v>
      </c>
    </row>
    <row r="219" spans="1:10" s="387" customFormat="1">
      <c r="A219" s="395"/>
      <c r="B219" s="396"/>
      <c r="C219" s="385"/>
      <c r="D219" s="385">
        <v>5113</v>
      </c>
      <c r="E219" s="385" t="s">
        <v>1127</v>
      </c>
      <c r="F219" s="389">
        <v>281393.02</v>
      </c>
      <c r="G219" s="501">
        <v>1059893</v>
      </c>
      <c r="H219" s="398">
        <f>1296704.41408+367976.1</f>
        <v>1664680.5140800001</v>
      </c>
      <c r="I219" s="398">
        <f>1668875.5556405+367976.1</f>
        <v>2036851.6556405001</v>
      </c>
      <c r="J219" s="398">
        <f>2001650.64973185+367976.1</f>
        <v>2369626.7497318499</v>
      </c>
    </row>
    <row r="220" spans="1:10" s="387" customFormat="1">
      <c r="A220" s="395"/>
      <c r="B220" s="396"/>
      <c r="C220" s="385"/>
      <c r="D220" s="385">
        <v>5134</v>
      </c>
      <c r="E220" s="385" t="s">
        <v>1128</v>
      </c>
      <c r="F220" s="389">
        <v>9788</v>
      </c>
      <c r="G220" s="501">
        <v>99048.8</v>
      </c>
      <c r="H220" s="501">
        <v>94025.85</v>
      </c>
      <c r="I220" s="501">
        <v>14040</v>
      </c>
      <c r="J220" s="501">
        <v>0</v>
      </c>
    </row>
    <row r="221" spans="1:10" s="394" customFormat="1" outlineLevel="2">
      <c r="A221" s="408"/>
      <c r="B221" s="420"/>
      <c r="C221" s="415"/>
      <c r="D221" s="385">
        <v>4655</v>
      </c>
      <c r="E221" s="385" t="s">
        <v>1185</v>
      </c>
      <c r="F221" s="389">
        <v>66816.2</v>
      </c>
      <c r="G221" s="501">
        <v>0</v>
      </c>
      <c r="H221" s="501">
        <v>0</v>
      </c>
      <c r="I221" s="501">
        <v>0</v>
      </c>
      <c r="J221" s="501">
        <v>0</v>
      </c>
    </row>
    <row r="222" spans="1:10" s="394" customFormat="1" ht="25.5" outlineLevel="2">
      <c r="A222" s="408"/>
      <c r="B222" s="420">
        <v>1075</v>
      </c>
      <c r="C222" s="415">
        <v>21003</v>
      </c>
      <c r="D222" s="385"/>
      <c r="E222" s="438" t="s">
        <v>732</v>
      </c>
      <c r="F222" s="417">
        <v>19200</v>
      </c>
      <c r="G222" s="522">
        <v>0</v>
      </c>
      <c r="H222" s="522">
        <v>0</v>
      </c>
      <c r="I222" s="522">
        <v>0</v>
      </c>
      <c r="J222" s="522">
        <v>0</v>
      </c>
    </row>
    <row r="223" spans="1:10" s="394" customFormat="1" ht="38.25" outlineLevel="2">
      <c r="A223" s="408"/>
      <c r="B223" s="420">
        <v>1075</v>
      </c>
      <c r="C223" s="415">
        <v>21004</v>
      </c>
      <c r="D223" s="385"/>
      <c r="E223" s="438" t="s">
        <v>733</v>
      </c>
      <c r="F223" s="417">
        <v>7325</v>
      </c>
      <c r="G223" s="522">
        <v>0</v>
      </c>
      <c r="H223" s="522">
        <v>0</v>
      </c>
      <c r="I223" s="522">
        <v>0</v>
      </c>
      <c r="J223" s="522">
        <v>0</v>
      </c>
    </row>
    <row r="224" spans="1:10" s="394" customFormat="1" ht="38.25" outlineLevel="2">
      <c r="A224" s="408"/>
      <c r="B224" s="420">
        <v>1075</v>
      </c>
      <c r="C224" s="415">
        <v>21005</v>
      </c>
      <c r="D224" s="385"/>
      <c r="E224" s="438" t="s">
        <v>734</v>
      </c>
      <c r="F224" s="417">
        <v>187565</v>
      </c>
      <c r="G224" s="522">
        <v>0</v>
      </c>
      <c r="H224" s="522">
        <v>0</v>
      </c>
      <c r="I224" s="522">
        <v>0</v>
      </c>
      <c r="J224" s="522">
        <v>0</v>
      </c>
    </row>
    <row r="225" spans="1:10" ht="25.5">
      <c r="A225" s="408"/>
      <c r="B225" s="420">
        <v>1075</v>
      </c>
      <c r="C225" s="415">
        <v>32001</v>
      </c>
      <c r="D225" s="415"/>
      <c r="E225" s="438" t="s">
        <v>735</v>
      </c>
      <c r="F225" s="417">
        <v>133140.64000000001</v>
      </c>
      <c r="G225" s="522">
        <f>+G226+G229</f>
        <v>527943.69999999995</v>
      </c>
      <c r="H225" s="522">
        <f>+H226+H229</f>
        <v>426396.98689382244</v>
      </c>
      <c r="I225" s="522">
        <f>+I226+I229</f>
        <v>416410.56689382246</v>
      </c>
      <c r="J225" s="522">
        <f t="shared" ref="J225" si="9">+J226+J229</f>
        <v>35277.800000000003</v>
      </c>
    </row>
    <row r="226" spans="1:10" ht="25.5">
      <c r="A226" s="408"/>
      <c r="B226" s="420"/>
      <c r="C226" s="415"/>
      <c r="D226" s="415"/>
      <c r="E226" s="428" t="s">
        <v>1123</v>
      </c>
      <c r="F226" s="545">
        <f>+F227</f>
        <v>133140.64000000001</v>
      </c>
      <c r="G226" s="507">
        <f>+G227</f>
        <v>384265.1</v>
      </c>
      <c r="H226" s="507">
        <f>+H227+H228</f>
        <v>292981.09689382243</v>
      </c>
      <c r="I226" s="507">
        <f>+I227+I228</f>
        <v>282994.67689382244</v>
      </c>
      <c r="J226" s="507">
        <f>+J227+J228</f>
        <v>0</v>
      </c>
    </row>
    <row r="227" spans="1:10" s="387" customFormat="1">
      <c r="A227" s="395"/>
      <c r="B227" s="396"/>
      <c r="C227" s="385"/>
      <c r="D227" s="385">
        <v>5113</v>
      </c>
      <c r="E227" s="385" t="s">
        <v>1127</v>
      </c>
      <c r="F227" s="389">
        <v>133140.64000000001</v>
      </c>
      <c r="G227" s="501">
        <v>384265.1</v>
      </c>
      <c r="H227" s="501">
        <v>282994.67689382244</v>
      </c>
      <c r="I227" s="501">
        <v>282994.67689382244</v>
      </c>
      <c r="J227" s="501">
        <v>0</v>
      </c>
    </row>
    <row r="228" spans="1:10" s="387" customFormat="1">
      <c r="A228" s="395"/>
      <c r="B228" s="396"/>
      <c r="C228" s="385"/>
      <c r="D228" s="385">
        <v>5134</v>
      </c>
      <c r="E228" s="385" t="s">
        <v>1194</v>
      </c>
      <c r="F228" s="389"/>
      <c r="G228" s="501"/>
      <c r="H228" s="501">
        <v>9986.42</v>
      </c>
      <c r="I228" s="501">
        <v>0</v>
      </c>
      <c r="J228" s="501">
        <v>0</v>
      </c>
    </row>
    <row r="229" spans="1:10">
      <c r="A229" s="408"/>
      <c r="B229" s="420"/>
      <c r="C229" s="415"/>
      <c r="D229" s="415"/>
      <c r="E229" s="428" t="s">
        <v>1129</v>
      </c>
      <c r="F229" s="545">
        <f>+F230+F231</f>
        <v>0</v>
      </c>
      <c r="G229" s="507">
        <f>+G230+G231</f>
        <v>143678.6</v>
      </c>
      <c r="H229" s="507">
        <f>+H230+H231</f>
        <v>133415.89000000001</v>
      </c>
      <c r="I229" s="507">
        <f>+I230+I231</f>
        <v>133415.89000000001</v>
      </c>
      <c r="J229" s="507">
        <f>+J230+J231</f>
        <v>35277.800000000003</v>
      </c>
    </row>
    <row r="230" spans="1:10" s="387" customFormat="1">
      <c r="A230" s="395"/>
      <c r="B230" s="396"/>
      <c r="C230" s="385"/>
      <c r="D230" s="385">
        <v>5113</v>
      </c>
      <c r="E230" s="385" t="s">
        <v>1127</v>
      </c>
      <c r="F230" s="389"/>
      <c r="G230" s="501">
        <v>143678.6</v>
      </c>
      <c r="H230" s="501">
        <v>133415.89000000001</v>
      </c>
      <c r="I230" s="501">
        <v>133415.89000000001</v>
      </c>
      <c r="J230" s="501">
        <v>0</v>
      </c>
    </row>
    <row r="231" spans="1:10" s="387" customFormat="1">
      <c r="A231" s="395"/>
      <c r="B231" s="396"/>
      <c r="C231" s="385"/>
      <c r="D231" s="385">
        <v>5134</v>
      </c>
      <c r="E231" s="385" t="s">
        <v>1194</v>
      </c>
      <c r="F231" s="389"/>
      <c r="G231" s="501"/>
      <c r="H231" s="501">
        <v>0</v>
      </c>
      <c r="I231" s="501">
        <v>0</v>
      </c>
      <c r="J231" s="501">
        <v>35277.800000000003</v>
      </c>
    </row>
    <row r="232" spans="1:10" ht="25.5">
      <c r="A232" s="408"/>
      <c r="B232" s="420">
        <v>1075</v>
      </c>
      <c r="C232" s="415">
        <v>32008</v>
      </c>
      <c r="D232" s="415"/>
      <c r="E232" s="438" t="s">
        <v>736</v>
      </c>
      <c r="F232" s="417">
        <f>+F233</f>
        <v>13768</v>
      </c>
      <c r="G232" s="522">
        <f>+G233</f>
        <v>176509.7</v>
      </c>
      <c r="H232" s="522">
        <f>+H233</f>
        <v>11689.6</v>
      </c>
      <c r="I232" s="522">
        <f>+I233</f>
        <v>4156</v>
      </c>
      <c r="J232" s="522">
        <f>+J233</f>
        <v>0</v>
      </c>
    </row>
    <row r="233" spans="1:10" s="387" customFormat="1">
      <c r="A233" s="395"/>
      <c r="B233" s="396"/>
      <c r="C233" s="385"/>
      <c r="D233" s="385">
        <v>5129</v>
      </c>
      <c r="E233" s="385" t="s">
        <v>1172</v>
      </c>
      <c r="F233" s="389">
        <v>13768</v>
      </c>
      <c r="G233" s="501">
        <v>176509.7</v>
      </c>
      <c r="H233" s="501">
        <v>11689.6</v>
      </c>
      <c r="I233" s="501">
        <v>4156</v>
      </c>
      <c r="J233" s="501">
        <v>0</v>
      </c>
    </row>
    <row r="234" spans="1:10" s="394" customFormat="1" ht="38.25" outlineLevel="1">
      <c r="A234" s="408"/>
      <c r="B234" s="420">
        <v>1075</v>
      </c>
      <c r="C234" s="415">
        <v>32009</v>
      </c>
      <c r="D234" s="415"/>
      <c r="E234" s="438" t="s">
        <v>737</v>
      </c>
      <c r="F234" s="417">
        <v>11037.2</v>
      </c>
      <c r="G234" s="522">
        <v>0</v>
      </c>
      <c r="H234" s="522">
        <v>0</v>
      </c>
      <c r="I234" s="522">
        <v>0</v>
      </c>
      <c r="J234" s="522">
        <v>0</v>
      </c>
    </row>
    <row r="235" spans="1:10">
      <c r="A235" s="408"/>
      <c r="B235" s="420">
        <v>1075</v>
      </c>
      <c r="C235" s="415">
        <v>32010</v>
      </c>
      <c r="D235" s="415"/>
      <c r="E235" s="438" t="s">
        <v>738</v>
      </c>
      <c r="F235" s="417">
        <f>+F236</f>
        <v>196975.5</v>
      </c>
      <c r="G235" s="522">
        <f>+G236</f>
        <v>0</v>
      </c>
      <c r="H235" s="522">
        <f>+H236</f>
        <v>328292.5</v>
      </c>
      <c r="I235" s="522">
        <f>+I236</f>
        <v>328292.5</v>
      </c>
      <c r="J235" s="522">
        <f>+J236</f>
        <v>328292.5</v>
      </c>
    </row>
    <row r="236" spans="1:10" s="387" customFormat="1" ht="38.25">
      <c r="A236" s="395"/>
      <c r="B236" s="396"/>
      <c r="C236" s="385"/>
      <c r="D236" s="385">
        <v>4655</v>
      </c>
      <c r="E236" s="385" t="s">
        <v>1187</v>
      </c>
      <c r="F236" s="389">
        <v>196975.5</v>
      </c>
      <c r="G236" s="501">
        <v>0</v>
      </c>
      <c r="H236" s="501">
        <v>328292.5</v>
      </c>
      <c r="I236" s="501">
        <v>328292.5</v>
      </c>
      <c r="J236" s="501">
        <v>328292.5</v>
      </c>
    </row>
    <row r="237" spans="1:10" s="486" customFormat="1" ht="51" outlineLevel="1">
      <c r="A237" s="395"/>
      <c r="B237" s="400">
        <v>1075</v>
      </c>
      <c r="C237" s="542" t="s">
        <v>413</v>
      </c>
      <c r="D237" s="483" t="s">
        <v>413</v>
      </c>
      <c r="E237" s="484" t="s">
        <v>1217</v>
      </c>
      <c r="F237" s="485">
        <f>+F238</f>
        <v>0</v>
      </c>
      <c r="G237" s="512">
        <f>+G238</f>
        <v>0</v>
      </c>
      <c r="H237" s="512">
        <f>+H238</f>
        <v>26150.400000000001</v>
      </c>
      <c r="I237" s="512">
        <f>+I238</f>
        <v>26150.400000000001</v>
      </c>
      <c r="J237" s="512">
        <f>+J238</f>
        <v>26150.400000000001</v>
      </c>
    </row>
    <row r="238" spans="1:10" s="486" customFormat="1" outlineLevel="1">
      <c r="A238" s="482"/>
      <c r="B238" s="477"/>
      <c r="C238" s="487"/>
      <c r="D238" s="475"/>
      <c r="E238" s="475"/>
      <c r="F238" s="398">
        <v>0</v>
      </c>
      <c r="G238" s="504">
        <v>0</v>
      </c>
      <c r="H238" s="504">
        <v>26150.400000000001</v>
      </c>
      <c r="I238" s="504">
        <v>26150.400000000001</v>
      </c>
      <c r="J238" s="504">
        <v>26150.400000000001</v>
      </c>
    </row>
    <row r="239" spans="1:10" s="587" customFormat="1" ht="38.25">
      <c r="A239" s="584"/>
      <c r="B239" s="585">
        <v>1075</v>
      </c>
      <c r="C239" s="542" t="s">
        <v>413</v>
      </c>
      <c r="D239" s="478"/>
      <c r="E239" s="472" t="s">
        <v>1224</v>
      </c>
      <c r="F239" s="391">
        <f>+F240+F241</f>
        <v>0</v>
      </c>
      <c r="G239" s="391">
        <f>+G240+G241</f>
        <v>0</v>
      </c>
      <c r="H239" s="586">
        <f>+H240+H241</f>
        <v>18000</v>
      </c>
      <c r="I239" s="586">
        <f>+I240+I241</f>
        <v>30000</v>
      </c>
      <c r="J239" s="391">
        <f>+J240+J241</f>
        <v>30000</v>
      </c>
    </row>
    <row r="240" spans="1:10" s="486" customFormat="1" ht="38.25">
      <c r="A240" s="482"/>
      <c r="B240" s="474"/>
      <c r="C240" s="475"/>
      <c r="D240" s="475">
        <v>4637</v>
      </c>
      <c r="E240" s="475" t="s">
        <v>1121</v>
      </c>
      <c r="F240" s="398">
        <v>0</v>
      </c>
      <c r="G240" s="398">
        <v>0</v>
      </c>
      <c r="H240" s="398">
        <v>9000</v>
      </c>
      <c r="I240" s="398">
        <v>15000</v>
      </c>
      <c r="J240" s="398">
        <v>15000</v>
      </c>
    </row>
    <row r="241" spans="1:10" s="486" customFormat="1" ht="38.25">
      <c r="A241" s="482"/>
      <c r="B241" s="474"/>
      <c r="C241" s="475"/>
      <c r="D241" s="475">
        <v>4655</v>
      </c>
      <c r="E241" s="475" t="s">
        <v>1162</v>
      </c>
      <c r="F241" s="398">
        <v>0</v>
      </c>
      <c r="G241" s="398">
        <v>0</v>
      </c>
      <c r="H241" s="398">
        <v>9000</v>
      </c>
      <c r="I241" s="398">
        <v>15000</v>
      </c>
      <c r="J241" s="398">
        <v>15000</v>
      </c>
    </row>
    <row r="242" spans="1:10" s="543" customFormat="1">
      <c r="A242" s="574">
        <v>5</v>
      </c>
      <c r="B242" s="555">
        <v>1111</v>
      </c>
      <c r="C242" s="609" t="s">
        <v>486</v>
      </c>
      <c r="D242" s="610"/>
      <c r="E242" s="611"/>
      <c r="F242" s="376">
        <f>SUM(F243,F246,F249,F250,F251,F252,F259,F264,F267,F272,F277,F280,F282,F285,F288,F291,F296)</f>
        <v>12725359</v>
      </c>
      <c r="G242" s="497">
        <f>SUM(G243,G246,G249,G250,G251,G252,G259,G264,G267,G272,G277,G280,G282,G285,G288,G291,G296)</f>
        <v>14642299.699999997</v>
      </c>
      <c r="H242" s="497">
        <f>SUM(H243,H246,H249,H250,H251,H252,H259,H264,H267,H272,H277,H280,H282,H285,H288,H291,H296)</f>
        <v>16493759.2078472</v>
      </c>
      <c r="I242" s="497">
        <f>SUM(I243,I246,I249,I250,I251,I252,I259,I264,I267,I272,I277,I280,I282,I285,I288,I291,I296)</f>
        <v>16778688.577847198</v>
      </c>
      <c r="J242" s="497">
        <f>SUM(J243,J246,J249,J250,J251,J252,J259,J264,J267,J272,J277,J280,J282,J285,J288,J291,J296)</f>
        <v>18503945.412847202</v>
      </c>
    </row>
    <row r="243" spans="1:10" ht="25.5">
      <c r="A243" s="408"/>
      <c r="B243" s="373">
        <v>1111</v>
      </c>
      <c r="C243" s="421">
        <v>11001</v>
      </c>
      <c r="D243" s="421"/>
      <c r="E243" s="393" t="s">
        <v>487</v>
      </c>
      <c r="F243" s="419">
        <f t="shared" ref="F243:J244" si="10">+F244</f>
        <v>43113.5</v>
      </c>
      <c r="G243" s="509">
        <f t="shared" si="10"/>
        <v>43113.5</v>
      </c>
      <c r="H243" s="509">
        <f t="shared" si="10"/>
        <v>52805</v>
      </c>
      <c r="I243" s="509">
        <f t="shared" si="10"/>
        <v>52805</v>
      </c>
      <c r="J243" s="509">
        <f t="shared" si="10"/>
        <v>52805</v>
      </c>
    </row>
    <row r="244" spans="1:10" ht="38.25">
      <c r="A244" s="408"/>
      <c r="B244" s="373"/>
      <c r="C244" s="421"/>
      <c r="D244" s="421"/>
      <c r="E244" s="428" t="s">
        <v>1131</v>
      </c>
      <c r="F244" s="545">
        <f t="shared" si="10"/>
        <v>43113.5</v>
      </c>
      <c r="G244" s="507">
        <f t="shared" si="10"/>
        <v>43113.5</v>
      </c>
      <c r="H244" s="507">
        <f t="shared" si="10"/>
        <v>52805</v>
      </c>
      <c r="I244" s="507">
        <f t="shared" si="10"/>
        <v>52805</v>
      </c>
      <c r="J244" s="507">
        <f t="shared" si="10"/>
        <v>52805</v>
      </c>
    </row>
    <row r="245" spans="1:10" s="387" customFormat="1">
      <c r="A245" s="395"/>
      <c r="B245" s="396"/>
      <c r="C245" s="385"/>
      <c r="D245" s="385">
        <v>4639</v>
      </c>
      <c r="E245" s="385" t="s">
        <v>1119</v>
      </c>
      <c r="F245" s="389">
        <v>43113.5</v>
      </c>
      <c r="G245" s="501">
        <v>43113.5</v>
      </c>
      <c r="H245" s="501">
        <v>52805</v>
      </c>
      <c r="I245" s="501">
        <v>52805</v>
      </c>
      <c r="J245" s="501">
        <v>52805</v>
      </c>
    </row>
    <row r="246" spans="1:10" ht="25.5">
      <c r="A246" s="408"/>
      <c r="B246" s="373">
        <v>1111</v>
      </c>
      <c r="C246" s="421">
        <v>11003</v>
      </c>
      <c r="D246" s="421"/>
      <c r="E246" s="393" t="s">
        <v>488</v>
      </c>
      <c r="F246" s="419">
        <f t="shared" ref="F246:J247" si="11">+F247</f>
        <v>59989.5</v>
      </c>
      <c r="G246" s="509">
        <f t="shared" si="11"/>
        <v>59989.5</v>
      </c>
      <c r="H246" s="509">
        <f t="shared" si="11"/>
        <v>94183.5</v>
      </c>
      <c r="I246" s="509">
        <f t="shared" si="11"/>
        <v>95983.2</v>
      </c>
      <c r="J246" s="509">
        <f t="shared" si="11"/>
        <v>103661.9</v>
      </c>
    </row>
    <row r="247" spans="1:10" ht="38.25">
      <c r="A247" s="408"/>
      <c r="B247" s="373"/>
      <c r="C247" s="421"/>
      <c r="D247" s="421"/>
      <c r="E247" s="428" t="s">
        <v>1131</v>
      </c>
      <c r="F247" s="545">
        <f t="shared" si="11"/>
        <v>59989.5</v>
      </c>
      <c r="G247" s="507">
        <f t="shared" si="11"/>
        <v>59989.5</v>
      </c>
      <c r="H247" s="507">
        <f t="shared" si="11"/>
        <v>94183.5</v>
      </c>
      <c r="I247" s="507">
        <f t="shared" si="11"/>
        <v>95983.2</v>
      </c>
      <c r="J247" s="507">
        <f t="shared" si="11"/>
        <v>103661.9</v>
      </c>
    </row>
    <row r="248" spans="1:10" s="387" customFormat="1">
      <c r="A248" s="395"/>
      <c r="B248" s="396"/>
      <c r="C248" s="385"/>
      <c r="D248" s="385">
        <v>4639</v>
      </c>
      <c r="E248" s="385" t="s">
        <v>1119</v>
      </c>
      <c r="F248" s="389">
        <v>59989.5</v>
      </c>
      <c r="G248" s="501">
        <v>59989.5</v>
      </c>
      <c r="H248" s="501">
        <v>94183.5</v>
      </c>
      <c r="I248" s="501">
        <v>95983.2</v>
      </c>
      <c r="J248" s="501">
        <v>103661.9</v>
      </c>
    </row>
    <row r="249" spans="1:10" s="394" customFormat="1" ht="51" hidden="1" outlineLevel="1">
      <c r="A249" s="408"/>
      <c r="B249" s="373">
        <v>1111</v>
      </c>
      <c r="C249" s="421">
        <v>11004</v>
      </c>
      <c r="D249" s="421"/>
      <c r="E249" s="557" t="s">
        <v>489</v>
      </c>
      <c r="F249" s="419">
        <v>15379.800000000001</v>
      </c>
      <c r="G249" s="509">
        <v>0</v>
      </c>
      <c r="H249" s="500">
        <v>0</v>
      </c>
      <c r="I249" s="500">
        <v>0</v>
      </c>
      <c r="J249" s="500">
        <v>0</v>
      </c>
    </row>
    <row r="250" spans="1:10" s="394" customFormat="1" ht="25.5" hidden="1" outlineLevel="1">
      <c r="A250" s="408"/>
      <c r="B250" s="373">
        <v>1111</v>
      </c>
      <c r="C250" s="421">
        <v>11005</v>
      </c>
      <c r="D250" s="421"/>
      <c r="E250" s="393" t="s">
        <v>490</v>
      </c>
      <c r="F250" s="419">
        <v>2919</v>
      </c>
      <c r="G250" s="509">
        <v>0</v>
      </c>
      <c r="H250" s="500">
        <v>0</v>
      </c>
      <c r="I250" s="500">
        <v>0</v>
      </c>
      <c r="J250" s="500">
        <v>0</v>
      </c>
    </row>
    <row r="251" spans="1:10" s="394" customFormat="1" hidden="1" outlineLevel="1">
      <c r="A251" s="408"/>
      <c r="B251" s="373">
        <v>1111</v>
      </c>
      <c r="C251" s="421">
        <v>11006</v>
      </c>
      <c r="D251" s="421"/>
      <c r="E251" s="393" t="s">
        <v>491</v>
      </c>
      <c r="F251" s="419">
        <v>22680</v>
      </c>
      <c r="G251" s="509">
        <v>0</v>
      </c>
      <c r="H251" s="500">
        <v>0</v>
      </c>
      <c r="I251" s="500">
        <v>0</v>
      </c>
      <c r="J251" s="500">
        <v>0</v>
      </c>
    </row>
    <row r="252" spans="1:10" s="394" customFormat="1" ht="25.5" customHeight="1" collapsed="1">
      <c r="A252" s="408"/>
      <c r="B252" s="373">
        <v>1111</v>
      </c>
      <c r="C252" s="421">
        <v>12001</v>
      </c>
      <c r="D252" s="421"/>
      <c r="E252" s="393" t="s">
        <v>492</v>
      </c>
      <c r="F252" s="419">
        <f>+F253+F255</f>
        <v>741153.69000000006</v>
      </c>
      <c r="G252" s="509">
        <f>+G253+G255</f>
        <v>1062013.2</v>
      </c>
      <c r="H252" s="509">
        <v>1105813.28</v>
      </c>
      <c r="I252" s="509">
        <v>1105813.28</v>
      </c>
      <c r="J252" s="509">
        <v>1105813.28</v>
      </c>
    </row>
    <row r="253" spans="1:10" ht="38.25">
      <c r="A253" s="408"/>
      <c r="B253" s="373"/>
      <c r="C253" s="421"/>
      <c r="D253" s="421"/>
      <c r="E253" s="428" t="s">
        <v>1131</v>
      </c>
      <c r="F253" s="545">
        <f>+F254</f>
        <v>619281.65</v>
      </c>
      <c r="G253" s="507">
        <f>+G254</f>
        <v>922013.2</v>
      </c>
      <c r="H253" s="507">
        <f>+H254</f>
        <v>1062013.2</v>
      </c>
      <c r="I253" s="507">
        <f>+I254</f>
        <v>1062013.2</v>
      </c>
      <c r="J253" s="507">
        <f>+J254</f>
        <v>1062013.2</v>
      </c>
    </row>
    <row r="254" spans="1:10" s="387" customFormat="1" ht="25.5">
      <c r="A254" s="395"/>
      <c r="B254" s="396"/>
      <c r="C254" s="385"/>
      <c r="D254" s="385">
        <v>4727</v>
      </c>
      <c r="E254" s="385" t="s">
        <v>1122</v>
      </c>
      <c r="F254" s="389">
        <v>619281.65</v>
      </c>
      <c r="G254" s="501">
        <v>922013.2</v>
      </c>
      <c r="H254" s="501">
        <v>1062013.2</v>
      </c>
      <c r="I254" s="501">
        <v>1062013.2</v>
      </c>
      <c r="J254" s="501">
        <v>1062013.2</v>
      </c>
    </row>
    <row r="255" spans="1:10">
      <c r="A255" s="408"/>
      <c r="B255" s="373"/>
      <c r="C255" s="421"/>
      <c r="D255" s="421"/>
      <c r="E255" s="428" t="s">
        <v>1132</v>
      </c>
      <c r="F255" s="545">
        <f>+F256+F257+F258</f>
        <v>121872.04</v>
      </c>
      <c r="G255" s="507">
        <f>+G256+G257+G258</f>
        <v>140000</v>
      </c>
      <c r="H255" s="507">
        <f>+H256+H257+H258</f>
        <v>0</v>
      </c>
      <c r="I255" s="507">
        <f>+I256+I257+I258</f>
        <v>0</v>
      </c>
      <c r="J255" s="507">
        <f>+J256+J257+J258</f>
        <v>0</v>
      </c>
    </row>
    <row r="256" spans="1:10" s="387" customFormat="1">
      <c r="A256" s="395"/>
      <c r="B256" s="396"/>
      <c r="C256" s="385"/>
      <c r="D256" s="385">
        <v>4200</v>
      </c>
      <c r="E256" s="385" t="s">
        <v>1120</v>
      </c>
      <c r="F256" s="389"/>
      <c r="G256" s="501">
        <v>46000</v>
      </c>
      <c r="H256" s="501"/>
      <c r="I256" s="501"/>
      <c r="J256" s="501"/>
    </row>
    <row r="257" spans="1:10" s="387" customFormat="1" ht="25.5">
      <c r="A257" s="395"/>
      <c r="B257" s="396"/>
      <c r="C257" s="385"/>
      <c r="D257" s="385">
        <v>4727</v>
      </c>
      <c r="E257" s="385" t="s">
        <v>1122</v>
      </c>
      <c r="F257" s="389">
        <v>121872.04</v>
      </c>
      <c r="G257" s="501">
        <v>78000</v>
      </c>
      <c r="H257" s="501"/>
      <c r="I257" s="501"/>
      <c r="J257" s="501"/>
    </row>
    <row r="258" spans="1:10" s="387" customFormat="1">
      <c r="A258" s="395"/>
      <c r="B258" s="396"/>
      <c r="C258" s="385"/>
      <c r="D258" s="385">
        <v>4729</v>
      </c>
      <c r="E258" s="385" t="s">
        <v>1125</v>
      </c>
      <c r="F258" s="389"/>
      <c r="G258" s="501">
        <v>16000</v>
      </c>
      <c r="H258" s="501"/>
      <c r="I258" s="501"/>
      <c r="J258" s="501"/>
    </row>
    <row r="259" spans="1:10" ht="38.25">
      <c r="A259" s="408"/>
      <c r="B259" s="373">
        <v>1111</v>
      </c>
      <c r="C259" s="421">
        <v>12002</v>
      </c>
      <c r="D259" s="421"/>
      <c r="E259" s="393" t="s">
        <v>494</v>
      </c>
      <c r="F259" s="419">
        <f>+F260+F262</f>
        <v>406342.00000000006</v>
      </c>
      <c r="G259" s="509">
        <f>+G260+G262</f>
        <v>520749</v>
      </c>
      <c r="H259" s="500">
        <v>603336</v>
      </c>
      <c r="I259" s="500">
        <v>652956</v>
      </c>
      <c r="J259" s="500">
        <v>718251.6</v>
      </c>
    </row>
    <row r="260" spans="1:10">
      <c r="A260" s="408"/>
      <c r="B260" s="373"/>
      <c r="C260" s="421"/>
      <c r="D260" s="421"/>
      <c r="E260" s="428" t="s">
        <v>1133</v>
      </c>
      <c r="F260" s="545">
        <f>+F261</f>
        <v>39873.9</v>
      </c>
      <c r="G260" s="507">
        <f>+G261</f>
        <v>43740</v>
      </c>
      <c r="H260" s="507">
        <f>+H261</f>
        <v>43740</v>
      </c>
      <c r="I260" s="507">
        <f>+I261</f>
        <v>43740</v>
      </c>
      <c r="J260" s="507">
        <f>+J261</f>
        <v>43740</v>
      </c>
    </row>
    <row r="261" spans="1:10" s="387" customFormat="1" ht="25.5">
      <c r="A261" s="395"/>
      <c r="B261" s="396"/>
      <c r="C261" s="385"/>
      <c r="D261" s="385">
        <v>4727</v>
      </c>
      <c r="E261" s="385" t="s">
        <v>1122</v>
      </c>
      <c r="F261" s="389">
        <v>39873.9</v>
      </c>
      <c r="G261" s="501">
        <v>43740</v>
      </c>
      <c r="H261" s="501">
        <v>43740</v>
      </c>
      <c r="I261" s="501">
        <v>43740</v>
      </c>
      <c r="J261" s="501">
        <v>43740</v>
      </c>
    </row>
    <row r="262" spans="1:10" ht="38.25">
      <c r="A262" s="408"/>
      <c r="B262" s="373"/>
      <c r="C262" s="421"/>
      <c r="D262" s="421"/>
      <c r="E262" s="428" t="s">
        <v>1131</v>
      </c>
      <c r="F262" s="545">
        <f>+F263</f>
        <v>366468.10000000003</v>
      </c>
      <c r="G262" s="507">
        <f>+G263</f>
        <v>477009</v>
      </c>
      <c r="H262" s="507">
        <f>+H263</f>
        <v>560855</v>
      </c>
      <c r="I262" s="507">
        <f>+I263</f>
        <v>612815</v>
      </c>
      <c r="J262" s="507">
        <f>+J263</f>
        <v>621220</v>
      </c>
    </row>
    <row r="263" spans="1:10" s="387" customFormat="1" ht="25.5">
      <c r="A263" s="395"/>
      <c r="B263" s="396"/>
      <c r="C263" s="385"/>
      <c r="D263" s="385">
        <v>4727</v>
      </c>
      <c r="E263" s="385" t="s">
        <v>1122</v>
      </c>
      <c r="F263" s="389">
        <v>366468.10000000003</v>
      </c>
      <c r="G263" s="501">
        <v>477009</v>
      </c>
      <c r="H263" s="501">
        <v>560855</v>
      </c>
      <c r="I263" s="501">
        <v>612815</v>
      </c>
      <c r="J263" s="501">
        <v>621220</v>
      </c>
    </row>
    <row r="264" spans="1:10" ht="25.5">
      <c r="A264" s="408"/>
      <c r="B264" s="373">
        <v>1111</v>
      </c>
      <c r="C264" s="421">
        <v>12003</v>
      </c>
      <c r="D264" s="421"/>
      <c r="E264" s="393" t="s">
        <v>495</v>
      </c>
      <c r="F264" s="419">
        <f t="shared" ref="F264:J265" si="12">+F265</f>
        <v>55272.12</v>
      </c>
      <c r="G264" s="509">
        <f t="shared" si="12"/>
        <v>89040</v>
      </c>
      <c r="H264" s="509">
        <f t="shared" si="12"/>
        <v>95585</v>
      </c>
      <c r="I264" s="509">
        <f t="shared" si="12"/>
        <v>124106.3</v>
      </c>
      <c r="J264" s="509">
        <f t="shared" si="12"/>
        <v>144148.29999999999</v>
      </c>
    </row>
    <row r="265" spans="1:10" ht="38.25">
      <c r="A265" s="408"/>
      <c r="B265" s="373"/>
      <c r="C265" s="421"/>
      <c r="D265" s="421"/>
      <c r="E265" s="428" t="s">
        <v>1131</v>
      </c>
      <c r="F265" s="545">
        <f t="shared" si="12"/>
        <v>55272.12</v>
      </c>
      <c r="G265" s="507">
        <f t="shared" si="12"/>
        <v>89040</v>
      </c>
      <c r="H265" s="507">
        <f t="shared" si="12"/>
        <v>95585</v>
      </c>
      <c r="I265" s="507">
        <f t="shared" si="12"/>
        <v>124106.3</v>
      </c>
      <c r="J265" s="507">
        <f t="shared" si="12"/>
        <v>144148.29999999999</v>
      </c>
    </row>
    <row r="266" spans="1:10" s="387" customFormat="1" ht="25.5">
      <c r="A266" s="395"/>
      <c r="B266" s="396"/>
      <c r="C266" s="385"/>
      <c r="D266" s="385">
        <v>4727</v>
      </c>
      <c r="E266" s="385" t="s">
        <v>1122</v>
      </c>
      <c r="F266" s="389">
        <v>55272.12</v>
      </c>
      <c r="G266" s="501">
        <v>89040</v>
      </c>
      <c r="H266" s="501">
        <v>95585</v>
      </c>
      <c r="I266" s="501">
        <v>124106.3</v>
      </c>
      <c r="J266" s="501">
        <v>144148.29999999999</v>
      </c>
    </row>
    <row r="267" spans="1:10" ht="25.5">
      <c r="A267" s="408"/>
      <c r="B267" s="373">
        <v>1111</v>
      </c>
      <c r="C267" s="421">
        <v>12004</v>
      </c>
      <c r="D267" s="421"/>
      <c r="E267" s="393" t="s">
        <v>496</v>
      </c>
      <c r="F267" s="419">
        <f>+F268+F270</f>
        <v>9902543.1999999993</v>
      </c>
      <c r="G267" s="509">
        <f>+G268+G270</f>
        <v>11096493</v>
      </c>
      <c r="H267" s="500">
        <v>12355443.710000001</v>
      </c>
      <c r="I267" s="500">
        <v>12546646.59</v>
      </c>
      <c r="J267" s="500">
        <v>13801311.249</v>
      </c>
    </row>
    <row r="268" spans="1:10">
      <c r="A268" s="408"/>
      <c r="B268" s="373"/>
      <c r="C268" s="421"/>
      <c r="D268" s="421"/>
      <c r="E268" s="428" t="s">
        <v>1126</v>
      </c>
      <c r="F268" s="419">
        <f>+F269</f>
        <v>43264.5</v>
      </c>
      <c r="G268" s="509">
        <f>+G269</f>
        <v>43264.5</v>
      </c>
      <c r="H268" s="509">
        <f>+H269</f>
        <v>0</v>
      </c>
      <c r="I268" s="509">
        <f>+I269</f>
        <v>0</v>
      </c>
      <c r="J268" s="509">
        <f>+J269</f>
        <v>0</v>
      </c>
    </row>
    <row r="269" spans="1:10" s="387" customFormat="1">
      <c r="A269" s="395"/>
      <c r="B269" s="396"/>
      <c r="C269" s="385"/>
      <c r="D269" s="385">
        <v>4729</v>
      </c>
      <c r="E269" s="385" t="s">
        <v>1125</v>
      </c>
      <c r="F269" s="389">
        <v>43264.5</v>
      </c>
      <c r="G269" s="501">
        <v>43264.5</v>
      </c>
      <c r="H269" s="501"/>
      <c r="I269" s="501"/>
      <c r="J269" s="501"/>
    </row>
    <row r="270" spans="1:10" ht="38.25">
      <c r="A270" s="408"/>
      <c r="B270" s="373"/>
      <c r="C270" s="421"/>
      <c r="D270" s="421"/>
      <c r="E270" s="428" t="s">
        <v>1131</v>
      </c>
      <c r="F270" s="545">
        <f>+F271</f>
        <v>9859278.6999999993</v>
      </c>
      <c r="G270" s="507">
        <f>+G271</f>
        <v>11053228.5</v>
      </c>
      <c r="H270" s="507">
        <f>+H271</f>
        <v>11096493</v>
      </c>
      <c r="I270" s="507">
        <f>+I271</f>
        <v>11096493</v>
      </c>
      <c r="J270" s="507">
        <f>+J271</f>
        <v>11096493</v>
      </c>
    </row>
    <row r="271" spans="1:10" s="387" customFormat="1">
      <c r="A271" s="395"/>
      <c r="B271" s="396"/>
      <c r="C271" s="385"/>
      <c r="D271" s="385">
        <v>4729</v>
      </c>
      <c r="E271" s="385" t="s">
        <v>1125</v>
      </c>
      <c r="F271" s="389">
        <v>9859278.6999999993</v>
      </c>
      <c r="G271" s="501">
        <v>11053228.5</v>
      </c>
      <c r="H271" s="501">
        <v>11096493</v>
      </c>
      <c r="I271" s="501">
        <v>11096493</v>
      </c>
      <c r="J271" s="501">
        <v>11096493</v>
      </c>
    </row>
    <row r="272" spans="1:10" ht="38.25">
      <c r="A272" s="408"/>
      <c r="B272" s="373">
        <v>1111</v>
      </c>
      <c r="C272" s="421">
        <v>12005</v>
      </c>
      <c r="D272" s="421"/>
      <c r="E272" s="393" t="s">
        <v>497</v>
      </c>
      <c r="F272" s="419">
        <f>+F273+F275</f>
        <v>464876.80000000005</v>
      </c>
      <c r="G272" s="509">
        <f>+G273+G275</f>
        <v>502764.6</v>
      </c>
      <c r="H272" s="500">
        <v>550690.5</v>
      </c>
      <c r="I272" s="500">
        <v>563454.49</v>
      </c>
      <c r="J272" s="500">
        <v>577461.88</v>
      </c>
    </row>
    <row r="273" spans="1:10">
      <c r="A273" s="408"/>
      <c r="B273" s="373"/>
      <c r="C273" s="421"/>
      <c r="D273" s="421"/>
      <c r="E273" s="428" t="s">
        <v>1133</v>
      </c>
      <c r="F273" s="545">
        <f>+F274</f>
        <v>125517.90000000001</v>
      </c>
      <c r="G273" s="507">
        <f>+G274</f>
        <v>125416.6</v>
      </c>
      <c r="H273" s="507">
        <f>+H274</f>
        <v>182504.9</v>
      </c>
      <c r="I273" s="507">
        <f>+I274</f>
        <v>182504.9</v>
      </c>
      <c r="J273" s="507">
        <f>+J274</f>
        <v>182504.9</v>
      </c>
    </row>
    <row r="274" spans="1:10" s="387" customFormat="1">
      <c r="A274" s="395"/>
      <c r="B274" s="396"/>
      <c r="C274" s="385"/>
      <c r="D274" s="385">
        <v>4729</v>
      </c>
      <c r="E274" s="385" t="s">
        <v>1125</v>
      </c>
      <c r="F274" s="389">
        <v>125517.90000000001</v>
      </c>
      <c r="G274" s="501">
        <v>125416.6</v>
      </c>
      <c r="H274" s="501">
        <v>182504.9</v>
      </c>
      <c r="I274" s="501">
        <v>182504.9</v>
      </c>
      <c r="J274" s="501">
        <v>182504.9</v>
      </c>
    </row>
    <row r="275" spans="1:10" ht="38.25">
      <c r="A275" s="408"/>
      <c r="B275" s="373"/>
      <c r="C275" s="421"/>
      <c r="D275" s="421"/>
      <c r="E275" s="428" t="s">
        <v>1131</v>
      </c>
      <c r="F275" s="545">
        <f>+F276</f>
        <v>339358.9</v>
      </c>
      <c r="G275" s="507">
        <f>+G276</f>
        <v>377348</v>
      </c>
      <c r="H275" s="507">
        <f>+H276</f>
        <v>716918.4</v>
      </c>
      <c r="I275" s="507">
        <f>+I276</f>
        <v>769653.4</v>
      </c>
      <c r="J275" s="507">
        <f>+J276</f>
        <v>776780.4</v>
      </c>
    </row>
    <row r="276" spans="1:10" s="387" customFormat="1">
      <c r="A276" s="395"/>
      <c r="B276" s="396"/>
      <c r="C276" s="385"/>
      <c r="D276" s="385">
        <v>4729</v>
      </c>
      <c r="E276" s="385" t="s">
        <v>1125</v>
      </c>
      <c r="F276" s="389">
        <v>339358.9</v>
      </c>
      <c r="G276" s="501">
        <v>377348</v>
      </c>
      <c r="H276" s="501">
        <v>716918.4</v>
      </c>
      <c r="I276" s="501">
        <v>769653.4</v>
      </c>
      <c r="J276" s="501">
        <v>776780.4</v>
      </c>
    </row>
    <row r="277" spans="1:10" ht="38.25">
      <c r="A277" s="408"/>
      <c r="B277" s="373">
        <v>1111</v>
      </c>
      <c r="C277" s="421">
        <v>12006</v>
      </c>
      <c r="D277" s="421"/>
      <c r="E277" s="393" t="s">
        <v>498</v>
      </c>
      <c r="F277" s="419">
        <f t="shared" ref="F277:J278" si="13">+F278</f>
        <v>20463.89</v>
      </c>
      <c r="G277" s="509">
        <f t="shared" si="13"/>
        <v>35586.199999999997</v>
      </c>
      <c r="H277" s="509">
        <f t="shared" si="13"/>
        <v>36607.800000000003</v>
      </c>
      <c r="I277" s="509">
        <f t="shared" si="13"/>
        <v>37629.300000000003</v>
      </c>
      <c r="J277" s="509">
        <f t="shared" si="13"/>
        <v>38650.9</v>
      </c>
    </row>
    <row r="278" spans="1:10" ht="38.25">
      <c r="A278" s="408"/>
      <c r="B278" s="373"/>
      <c r="C278" s="421"/>
      <c r="D278" s="421"/>
      <c r="E278" s="428" t="s">
        <v>1131</v>
      </c>
      <c r="F278" s="545">
        <f t="shared" si="13"/>
        <v>20463.89</v>
      </c>
      <c r="G278" s="507">
        <f t="shared" si="13"/>
        <v>35586.199999999997</v>
      </c>
      <c r="H278" s="507">
        <f t="shared" si="13"/>
        <v>36607.800000000003</v>
      </c>
      <c r="I278" s="507">
        <f t="shared" si="13"/>
        <v>37629.300000000003</v>
      </c>
      <c r="J278" s="507">
        <f t="shared" si="13"/>
        <v>38650.9</v>
      </c>
    </row>
    <row r="279" spans="1:10" s="387" customFormat="1">
      <c r="A279" s="395"/>
      <c r="B279" s="396"/>
      <c r="C279" s="385"/>
      <c r="D279" s="385">
        <v>4729</v>
      </c>
      <c r="E279" s="385" t="s">
        <v>1125</v>
      </c>
      <c r="F279" s="389">
        <v>20463.89</v>
      </c>
      <c r="G279" s="501">
        <v>35586.199999999997</v>
      </c>
      <c r="H279" s="501">
        <v>36607.800000000003</v>
      </c>
      <c r="I279" s="501">
        <v>37629.300000000003</v>
      </c>
      <c r="J279" s="501">
        <v>38650.9</v>
      </c>
    </row>
    <row r="280" spans="1:10" ht="51">
      <c r="A280" s="408"/>
      <c r="B280" s="373">
        <v>1111</v>
      </c>
      <c r="C280" s="421">
        <v>12007</v>
      </c>
      <c r="D280" s="421"/>
      <c r="E280" s="393" t="s">
        <v>499</v>
      </c>
      <c r="F280" s="419">
        <f>+F281</f>
        <v>35045.5</v>
      </c>
      <c r="G280" s="509">
        <f>+G281</f>
        <v>35045.5</v>
      </c>
      <c r="H280" s="509">
        <f>+H281</f>
        <v>35045.5</v>
      </c>
      <c r="I280" s="509">
        <f>+I281</f>
        <v>35045.5</v>
      </c>
      <c r="J280" s="509">
        <f>+J281</f>
        <v>35045.5</v>
      </c>
    </row>
    <row r="281" spans="1:10" s="387" customFormat="1">
      <c r="A281" s="395"/>
      <c r="B281" s="396"/>
      <c r="C281" s="385"/>
      <c r="D281" s="385">
        <v>4639</v>
      </c>
      <c r="E281" s="385" t="s">
        <v>1119</v>
      </c>
      <c r="F281" s="389">
        <v>35045.5</v>
      </c>
      <c r="G281" s="501">
        <v>35045.5</v>
      </c>
      <c r="H281" s="501">
        <v>35045.5</v>
      </c>
      <c r="I281" s="501">
        <v>35045.5</v>
      </c>
      <c r="J281" s="501">
        <v>35045.5</v>
      </c>
    </row>
    <row r="282" spans="1:10" ht="25.5">
      <c r="A282" s="408"/>
      <c r="B282" s="373">
        <v>1111</v>
      </c>
      <c r="C282" s="421">
        <v>12008</v>
      </c>
      <c r="D282" s="421"/>
      <c r="E282" s="393" t="s">
        <v>500</v>
      </c>
      <c r="F282" s="419">
        <f t="shared" ref="F282:J283" si="14">+F283</f>
        <v>74189.400000000009</v>
      </c>
      <c r="G282" s="509">
        <f t="shared" si="14"/>
        <v>66300</v>
      </c>
      <c r="H282" s="509">
        <f t="shared" si="14"/>
        <v>66300</v>
      </c>
      <c r="I282" s="509">
        <f t="shared" si="14"/>
        <v>66300</v>
      </c>
      <c r="J282" s="509">
        <f t="shared" si="14"/>
        <v>66300</v>
      </c>
    </row>
    <row r="283" spans="1:10" ht="38.25">
      <c r="A283" s="408"/>
      <c r="B283" s="373"/>
      <c r="C283" s="421"/>
      <c r="D283" s="421"/>
      <c r="E283" s="428" t="s">
        <v>1131</v>
      </c>
      <c r="F283" s="545">
        <f t="shared" si="14"/>
        <v>74189.400000000009</v>
      </c>
      <c r="G283" s="507">
        <f t="shared" si="14"/>
        <v>66300</v>
      </c>
      <c r="H283" s="507">
        <f t="shared" si="14"/>
        <v>66300</v>
      </c>
      <c r="I283" s="507">
        <f t="shared" si="14"/>
        <v>66300</v>
      </c>
      <c r="J283" s="507">
        <f t="shared" si="14"/>
        <v>66300</v>
      </c>
    </row>
    <row r="284" spans="1:10" s="387" customFormat="1">
      <c r="A284" s="395"/>
      <c r="B284" s="396"/>
      <c r="C284" s="385"/>
      <c r="D284" s="385">
        <v>4639</v>
      </c>
      <c r="E284" s="385" t="s">
        <v>1119</v>
      </c>
      <c r="F284" s="389">
        <v>74189.400000000009</v>
      </c>
      <c r="G284" s="501">
        <v>66300</v>
      </c>
      <c r="H284" s="501">
        <v>66300</v>
      </c>
      <c r="I284" s="501">
        <v>66300</v>
      </c>
      <c r="J284" s="501">
        <v>66300</v>
      </c>
    </row>
    <row r="285" spans="1:10" ht="76.5">
      <c r="A285" s="408"/>
      <c r="B285" s="373">
        <v>1111</v>
      </c>
      <c r="C285" s="421">
        <v>12011</v>
      </c>
      <c r="D285" s="421"/>
      <c r="E285" s="393" t="s">
        <v>501</v>
      </c>
      <c r="F285" s="419">
        <f t="shared" ref="F285:J286" si="15">+F286</f>
        <v>439321.3</v>
      </c>
      <c r="G285" s="509">
        <f t="shared" si="15"/>
        <v>440237.5</v>
      </c>
      <c r="H285" s="509">
        <f t="shared" si="15"/>
        <v>440237.5</v>
      </c>
      <c r="I285" s="509">
        <f t="shared" si="15"/>
        <v>440237.5</v>
      </c>
      <c r="J285" s="509">
        <f t="shared" si="15"/>
        <v>440237.5</v>
      </c>
    </row>
    <row r="286" spans="1:10" ht="38.25">
      <c r="A286" s="408"/>
      <c r="B286" s="373"/>
      <c r="C286" s="421"/>
      <c r="D286" s="421"/>
      <c r="E286" s="428" t="s">
        <v>1131</v>
      </c>
      <c r="F286" s="545">
        <f t="shared" si="15"/>
        <v>439321.3</v>
      </c>
      <c r="G286" s="507">
        <f t="shared" si="15"/>
        <v>440237.5</v>
      </c>
      <c r="H286" s="507">
        <f t="shared" si="15"/>
        <v>440237.5</v>
      </c>
      <c r="I286" s="507">
        <f t="shared" si="15"/>
        <v>440237.5</v>
      </c>
      <c r="J286" s="507">
        <f t="shared" si="15"/>
        <v>440237.5</v>
      </c>
    </row>
    <row r="287" spans="1:10" s="387" customFormat="1">
      <c r="A287" s="395"/>
      <c r="B287" s="396"/>
      <c r="C287" s="385"/>
      <c r="D287" s="546">
        <v>4729</v>
      </c>
      <c r="E287" s="446" t="s">
        <v>1125</v>
      </c>
      <c r="F287" s="558">
        <v>439321.3</v>
      </c>
      <c r="G287" s="559">
        <v>440237.5</v>
      </c>
      <c r="H287" s="501">
        <v>440237.5</v>
      </c>
      <c r="I287" s="501">
        <v>440237.5</v>
      </c>
      <c r="J287" s="501">
        <v>440237.5</v>
      </c>
    </row>
    <row r="288" spans="1:10" ht="89.25">
      <c r="A288" s="408"/>
      <c r="B288" s="373">
        <v>1111</v>
      </c>
      <c r="C288" s="421">
        <v>12012</v>
      </c>
      <c r="D288" s="421"/>
      <c r="E288" s="393" t="s">
        <v>503</v>
      </c>
      <c r="F288" s="419">
        <f t="shared" ref="F288:J289" si="16">+F289</f>
        <v>254235.2</v>
      </c>
      <c r="G288" s="509">
        <f t="shared" si="16"/>
        <v>0</v>
      </c>
      <c r="H288" s="509">
        <f t="shared" si="16"/>
        <v>254235.2</v>
      </c>
      <c r="I288" s="509">
        <f t="shared" si="16"/>
        <v>254235.2</v>
      </c>
      <c r="J288" s="509">
        <f t="shared" si="16"/>
        <v>254235.2</v>
      </c>
    </row>
    <row r="289" spans="1:10" ht="38.25">
      <c r="A289" s="408"/>
      <c r="B289" s="373"/>
      <c r="C289" s="421"/>
      <c r="D289" s="421"/>
      <c r="E289" s="428" t="s">
        <v>1131</v>
      </c>
      <c r="F289" s="545">
        <f t="shared" si="16"/>
        <v>254235.2</v>
      </c>
      <c r="G289" s="507">
        <f t="shared" si="16"/>
        <v>0</v>
      </c>
      <c r="H289" s="507">
        <f t="shared" si="16"/>
        <v>254235.2</v>
      </c>
      <c r="I289" s="507">
        <f t="shared" si="16"/>
        <v>254235.2</v>
      </c>
      <c r="J289" s="507">
        <f t="shared" si="16"/>
        <v>254235.2</v>
      </c>
    </row>
    <row r="290" spans="1:10" s="387" customFormat="1">
      <c r="A290" s="395"/>
      <c r="B290" s="396"/>
      <c r="C290" s="385"/>
      <c r="D290" s="385">
        <v>4729</v>
      </c>
      <c r="E290" s="385" t="s">
        <v>1125</v>
      </c>
      <c r="F290" s="389">
        <v>254235.2</v>
      </c>
      <c r="G290" s="501">
        <v>0</v>
      </c>
      <c r="H290" s="501">
        <v>254235.2</v>
      </c>
      <c r="I290" s="501">
        <v>254235.2</v>
      </c>
      <c r="J290" s="501">
        <v>254235.2</v>
      </c>
    </row>
    <row r="291" spans="1:10" ht="38.25">
      <c r="A291" s="408"/>
      <c r="B291" s="420">
        <v>1111</v>
      </c>
      <c r="C291" s="415">
        <v>32001</v>
      </c>
      <c r="D291" s="415"/>
      <c r="E291" s="438" t="s">
        <v>739</v>
      </c>
      <c r="F291" s="417">
        <f>+F292+F294</f>
        <v>137850.4</v>
      </c>
      <c r="G291" s="522">
        <f t="shared" ref="G291:J291" si="17">+G292+G294</f>
        <v>690967.7</v>
      </c>
      <c r="H291" s="522">
        <f t="shared" si="17"/>
        <v>803476.21784719976</v>
      </c>
      <c r="I291" s="522">
        <f t="shared" si="17"/>
        <v>803476.21784719976</v>
      </c>
      <c r="J291" s="522">
        <f t="shared" si="17"/>
        <v>1000610.3038472</v>
      </c>
    </row>
    <row r="292" spans="1:10" ht="25.5">
      <c r="A292" s="408"/>
      <c r="B292" s="373"/>
      <c r="C292" s="421"/>
      <c r="D292" s="421"/>
      <c r="E292" s="428" t="s">
        <v>1123</v>
      </c>
      <c r="F292" s="545">
        <f>+F293</f>
        <v>0</v>
      </c>
      <c r="G292" s="507">
        <f>+G293</f>
        <v>159055.5</v>
      </c>
      <c r="H292" s="507">
        <f>+H293</f>
        <v>212073.95984719999</v>
      </c>
      <c r="I292" s="507">
        <f>+I293</f>
        <v>212073.95984719999</v>
      </c>
      <c r="J292" s="507">
        <f>+J293</f>
        <v>212073.95984720005</v>
      </c>
    </row>
    <row r="293" spans="1:10" s="387" customFormat="1">
      <c r="A293" s="395"/>
      <c r="B293" s="396"/>
      <c r="C293" s="385"/>
      <c r="D293" s="385">
        <v>5113</v>
      </c>
      <c r="E293" s="385" t="s">
        <v>1127</v>
      </c>
      <c r="F293" s="389"/>
      <c r="G293" s="501">
        <v>159055.5</v>
      </c>
      <c r="H293" s="501">
        <v>212073.95984719999</v>
      </c>
      <c r="I293" s="503">
        <v>212073.95984719999</v>
      </c>
      <c r="J293" s="501">
        <v>212073.95984720005</v>
      </c>
    </row>
    <row r="294" spans="1:10">
      <c r="A294" s="408"/>
      <c r="B294" s="373"/>
      <c r="C294" s="421"/>
      <c r="D294" s="421"/>
      <c r="E294" s="428" t="s">
        <v>1129</v>
      </c>
      <c r="F294" s="545">
        <f>+F295</f>
        <v>137850.4</v>
      </c>
      <c r="G294" s="507">
        <f>+G295</f>
        <v>531912.19999999995</v>
      </c>
      <c r="H294" s="507">
        <f>+H295</f>
        <v>591402.2579999998</v>
      </c>
      <c r="I294" s="507">
        <f>+I295</f>
        <v>591402.2579999998</v>
      </c>
      <c r="J294" s="507">
        <f>+J295</f>
        <v>788536.34399999992</v>
      </c>
    </row>
    <row r="295" spans="1:10" s="387" customFormat="1">
      <c r="A295" s="395"/>
      <c r="B295" s="396"/>
      <c r="C295" s="385"/>
      <c r="D295" s="385">
        <v>5113</v>
      </c>
      <c r="E295" s="385" t="s">
        <v>1127</v>
      </c>
      <c r="F295" s="389">
        <v>137850.4</v>
      </c>
      <c r="G295" s="501">
        <v>531912.19999999995</v>
      </c>
      <c r="H295" s="501">
        <v>591402.2579999998</v>
      </c>
      <c r="I295" s="501">
        <v>591402.2579999998</v>
      </c>
      <c r="J295" s="501">
        <v>788536.34399999992</v>
      </c>
    </row>
    <row r="296" spans="1:10" ht="63.75">
      <c r="A296" s="408"/>
      <c r="B296" s="420">
        <v>1111</v>
      </c>
      <c r="C296" s="415">
        <v>32003</v>
      </c>
      <c r="D296" s="415"/>
      <c r="E296" s="438" t="s">
        <v>740</v>
      </c>
      <c r="F296" s="417">
        <f>+F297+F298</f>
        <v>49983.700000000004</v>
      </c>
      <c r="G296" s="522">
        <f>+G297+G298</f>
        <v>0</v>
      </c>
      <c r="H296" s="522">
        <f>+H297+H298</f>
        <v>0</v>
      </c>
      <c r="I296" s="522">
        <f>+I297+I298</f>
        <v>0</v>
      </c>
      <c r="J296" s="522">
        <f>+J297+J298</f>
        <v>165412.79999999999</v>
      </c>
    </row>
    <row r="297" spans="1:10" s="387" customFormat="1" ht="38.25">
      <c r="A297" s="395"/>
      <c r="B297" s="396"/>
      <c r="C297" s="385"/>
      <c r="D297" s="385">
        <v>4655</v>
      </c>
      <c r="E297" s="385" t="s">
        <v>1195</v>
      </c>
      <c r="F297" s="389">
        <v>49983.700000000004</v>
      </c>
      <c r="G297" s="501"/>
      <c r="H297" s="501">
        <v>0</v>
      </c>
      <c r="I297" s="501">
        <v>0</v>
      </c>
      <c r="J297" s="501">
        <v>0</v>
      </c>
    </row>
    <row r="298" spans="1:10" s="387" customFormat="1">
      <c r="A298" s="395"/>
      <c r="B298" s="396"/>
      <c r="C298" s="385"/>
      <c r="D298" s="385">
        <v>5129</v>
      </c>
      <c r="E298" s="385" t="s">
        <v>1135</v>
      </c>
      <c r="F298" s="389"/>
      <c r="G298" s="501"/>
      <c r="H298" s="501">
        <v>0</v>
      </c>
      <c r="I298" s="501">
        <v>0</v>
      </c>
      <c r="J298" s="501">
        <v>165412.79999999999</v>
      </c>
    </row>
    <row r="299" spans="1:10" s="543" customFormat="1">
      <c r="A299" s="574">
        <v>6</v>
      </c>
      <c r="B299" s="555">
        <v>1115</v>
      </c>
      <c r="C299" s="581" t="s">
        <v>504</v>
      </c>
      <c r="D299" s="560"/>
      <c r="E299" s="581"/>
      <c r="F299" s="376">
        <f>SUM(F300,F305,F308,F310,F312,F314)</f>
        <v>2189691.77</v>
      </c>
      <c r="G299" s="497">
        <f>SUM(G300,G305,G308,G310,G312,G314)</f>
        <v>2331878.3999999999</v>
      </c>
      <c r="H299" s="497">
        <f>SUM(H300,H305,H308,H310,H312,H314)</f>
        <v>2718997.7</v>
      </c>
      <c r="I299" s="497">
        <f t="shared" ref="I299:J299" si="18">SUM(I300,I305,I308,I310,I312,I314)</f>
        <v>3081993.4</v>
      </c>
      <c r="J299" s="497">
        <f t="shared" si="18"/>
        <v>3157009.7</v>
      </c>
    </row>
    <row r="300" spans="1:10" ht="25.5">
      <c r="A300" s="408"/>
      <c r="B300" s="373">
        <v>1115</v>
      </c>
      <c r="C300" s="421">
        <v>11001</v>
      </c>
      <c r="D300" s="421"/>
      <c r="E300" s="393" t="s">
        <v>505</v>
      </c>
      <c r="F300" s="419">
        <f>+F301+F302+F303+F304</f>
        <v>63306.91</v>
      </c>
      <c r="G300" s="509">
        <f>+G301+G302+G303+G304</f>
        <v>99714.4</v>
      </c>
      <c r="H300" s="509">
        <f t="shared" ref="H300:J300" si="19">+H301+H302+H303+H304</f>
        <v>93885</v>
      </c>
      <c r="I300" s="509">
        <f t="shared" si="19"/>
        <v>143888</v>
      </c>
      <c r="J300" s="509">
        <f t="shared" si="19"/>
        <v>93885</v>
      </c>
    </row>
    <row r="301" spans="1:10" s="387" customFormat="1">
      <c r="A301" s="395"/>
      <c r="B301" s="396"/>
      <c r="C301" s="385"/>
      <c r="D301" s="385">
        <v>4200</v>
      </c>
      <c r="E301" s="385" t="s">
        <v>1120</v>
      </c>
      <c r="F301" s="389">
        <v>27535.77</v>
      </c>
      <c r="G301" s="501">
        <v>36703.4</v>
      </c>
      <c r="H301" s="501">
        <v>21952</v>
      </c>
      <c r="I301" s="501">
        <v>21952</v>
      </c>
      <c r="J301" s="501">
        <v>21952</v>
      </c>
    </row>
    <row r="302" spans="1:10" s="387" customFormat="1">
      <c r="A302" s="395"/>
      <c r="B302" s="396"/>
      <c r="C302" s="385"/>
      <c r="D302" s="385">
        <v>4639</v>
      </c>
      <c r="E302" s="385" t="s">
        <v>1119</v>
      </c>
      <c r="F302" s="389">
        <v>26762.29</v>
      </c>
      <c r="G302" s="501">
        <v>55139.5</v>
      </c>
      <c r="H302" s="501">
        <v>64061.5</v>
      </c>
      <c r="I302" s="501">
        <v>114064.5</v>
      </c>
      <c r="J302" s="501">
        <v>64061.5</v>
      </c>
    </row>
    <row r="303" spans="1:10" s="387" customFormat="1" ht="38.25">
      <c r="A303" s="395"/>
      <c r="B303" s="396"/>
      <c r="C303" s="385"/>
      <c r="D303" s="385">
        <v>4637</v>
      </c>
      <c r="E303" s="385" t="s">
        <v>1121</v>
      </c>
      <c r="F303" s="389">
        <v>3247.05</v>
      </c>
      <c r="G303" s="501"/>
      <c r="H303" s="501"/>
      <c r="I303" s="501"/>
      <c r="J303" s="501"/>
    </row>
    <row r="304" spans="1:10" s="387" customFormat="1">
      <c r="A304" s="395"/>
      <c r="B304" s="396"/>
      <c r="C304" s="385"/>
      <c r="D304" s="385">
        <v>4729</v>
      </c>
      <c r="E304" s="385" t="s">
        <v>1125</v>
      </c>
      <c r="F304" s="389">
        <v>5761.8</v>
      </c>
      <c r="G304" s="501">
        <v>7871.5</v>
      </c>
      <c r="H304" s="501">
        <v>7871.5</v>
      </c>
      <c r="I304" s="501">
        <v>7871.5</v>
      </c>
      <c r="J304" s="501">
        <v>7871.5</v>
      </c>
    </row>
    <row r="305" spans="1:10" ht="25.5">
      <c r="A305" s="408"/>
      <c r="B305" s="373">
        <v>1115</v>
      </c>
      <c r="C305" s="421">
        <v>11002</v>
      </c>
      <c r="D305" s="421"/>
      <c r="E305" s="393" t="s">
        <v>507</v>
      </c>
      <c r="F305" s="419">
        <f>+F306+F307</f>
        <v>7859</v>
      </c>
      <c r="G305" s="509">
        <f>+G306+G307</f>
        <v>9600</v>
      </c>
      <c r="H305" s="509">
        <f>+H306+H307</f>
        <v>9600</v>
      </c>
      <c r="I305" s="509">
        <f>+I306+I307</f>
        <v>9600</v>
      </c>
      <c r="J305" s="509">
        <f>+J306+J307</f>
        <v>9600</v>
      </c>
    </row>
    <row r="306" spans="1:10" s="387" customFormat="1">
      <c r="A306" s="395"/>
      <c r="B306" s="396"/>
      <c r="C306" s="385"/>
      <c r="D306" s="385">
        <v>4200</v>
      </c>
      <c r="E306" s="385" t="s">
        <v>1120</v>
      </c>
      <c r="F306" s="389">
        <v>2777</v>
      </c>
      <c r="G306" s="501">
        <v>2805.6</v>
      </c>
      <c r="H306" s="501">
        <v>2805.6</v>
      </c>
      <c r="I306" s="501">
        <v>2805.6</v>
      </c>
      <c r="J306" s="501">
        <v>2805.6</v>
      </c>
    </row>
    <row r="307" spans="1:10" s="387" customFormat="1">
      <c r="A307" s="395"/>
      <c r="B307" s="396"/>
      <c r="C307" s="385"/>
      <c r="D307" s="385">
        <v>4639</v>
      </c>
      <c r="E307" s="385" t="s">
        <v>1119</v>
      </c>
      <c r="F307" s="389">
        <v>5082</v>
      </c>
      <c r="G307" s="501">
        <v>6794.4</v>
      </c>
      <c r="H307" s="501">
        <v>6794.4</v>
      </c>
      <c r="I307" s="501">
        <v>6794.4</v>
      </c>
      <c r="J307" s="501">
        <v>6794.4</v>
      </c>
    </row>
    <row r="308" spans="1:10">
      <c r="A308" s="408"/>
      <c r="B308" s="373">
        <v>1115</v>
      </c>
      <c r="C308" s="421">
        <v>11003</v>
      </c>
      <c r="D308" s="421"/>
      <c r="E308" s="393" t="s">
        <v>508</v>
      </c>
      <c r="F308" s="419">
        <f>+F309</f>
        <v>8194.66</v>
      </c>
      <c r="G308" s="509">
        <f>+G309</f>
        <v>10216</v>
      </c>
      <c r="H308" s="509">
        <f>+H309</f>
        <v>10216</v>
      </c>
      <c r="I308" s="509">
        <f>+I309</f>
        <v>10216</v>
      </c>
      <c r="J308" s="509">
        <f>+J309</f>
        <v>10216</v>
      </c>
    </row>
    <row r="309" spans="1:10" s="387" customFormat="1">
      <c r="A309" s="395"/>
      <c r="B309" s="396"/>
      <c r="C309" s="385"/>
      <c r="D309" s="385">
        <v>4639</v>
      </c>
      <c r="E309" s="385" t="s">
        <v>1119</v>
      </c>
      <c r="F309" s="389">
        <v>8194.66</v>
      </c>
      <c r="G309" s="501">
        <v>10216</v>
      </c>
      <c r="H309" s="501">
        <v>10216</v>
      </c>
      <c r="I309" s="501">
        <v>10216</v>
      </c>
      <c r="J309" s="501">
        <v>10216</v>
      </c>
    </row>
    <row r="310" spans="1:10" ht="25.5">
      <c r="A310" s="408"/>
      <c r="B310" s="373">
        <v>1115</v>
      </c>
      <c r="C310" s="421">
        <v>11006</v>
      </c>
      <c r="D310" s="421"/>
      <c r="E310" s="393" t="s">
        <v>509</v>
      </c>
      <c r="F310" s="419">
        <f>+F311</f>
        <v>0</v>
      </c>
      <c r="G310" s="509">
        <f>+G311</f>
        <v>42160</v>
      </c>
      <c r="H310" s="509">
        <f>+H311</f>
        <v>6720.7</v>
      </c>
      <c r="I310" s="509">
        <f>+I311</f>
        <v>13951.4</v>
      </c>
      <c r="J310" s="509">
        <f>+J311</f>
        <v>6720.7</v>
      </c>
    </row>
    <row r="311" spans="1:10" s="387" customFormat="1">
      <c r="A311" s="395"/>
      <c r="B311" s="396"/>
      <c r="C311" s="385"/>
      <c r="D311" s="385">
        <v>4200</v>
      </c>
      <c r="E311" s="385" t="s">
        <v>1120</v>
      </c>
      <c r="F311" s="389">
        <v>0</v>
      </c>
      <c r="G311" s="501">
        <v>42160</v>
      </c>
      <c r="H311" s="501">
        <v>6720.7</v>
      </c>
      <c r="I311" s="501">
        <v>13951.4</v>
      </c>
      <c r="J311" s="501">
        <v>6720.7</v>
      </c>
    </row>
    <row r="312" spans="1:10">
      <c r="A312" s="408"/>
      <c r="B312" s="373">
        <v>1115</v>
      </c>
      <c r="C312" s="421">
        <v>12001</v>
      </c>
      <c r="D312" s="421"/>
      <c r="E312" s="393" t="s">
        <v>510</v>
      </c>
      <c r="F312" s="419">
        <f>+F313</f>
        <v>2064900</v>
      </c>
      <c r="G312" s="509">
        <f>+G313</f>
        <v>2064900</v>
      </c>
      <c r="H312" s="509">
        <f>+H313</f>
        <v>2388000</v>
      </c>
      <c r="I312" s="509">
        <f>+I313</f>
        <v>2667500</v>
      </c>
      <c r="J312" s="509">
        <f>+J313</f>
        <v>2931300</v>
      </c>
    </row>
    <row r="313" spans="1:10" s="387" customFormat="1">
      <c r="A313" s="395"/>
      <c r="B313" s="396"/>
      <c r="C313" s="385"/>
      <c r="D313" s="385">
        <v>4639</v>
      </c>
      <c r="E313" s="385" t="s">
        <v>1119</v>
      </c>
      <c r="F313" s="389">
        <v>2064900</v>
      </c>
      <c r="G313" s="501">
        <v>2064900</v>
      </c>
      <c r="H313" s="501">
        <v>2388000</v>
      </c>
      <c r="I313" s="501">
        <v>2667500</v>
      </c>
      <c r="J313" s="501">
        <v>2931300</v>
      </c>
    </row>
    <row r="314" spans="1:10" ht="25.5">
      <c r="A314" s="408"/>
      <c r="B314" s="373">
        <v>1115</v>
      </c>
      <c r="C314" s="421">
        <v>32001</v>
      </c>
      <c r="D314" s="421"/>
      <c r="E314" s="393" t="s">
        <v>512</v>
      </c>
      <c r="F314" s="419">
        <f>+F315</f>
        <v>45431.200000000004</v>
      </c>
      <c r="G314" s="509">
        <f>+G315</f>
        <v>105288</v>
      </c>
      <c r="H314" s="509">
        <f>+H315</f>
        <v>210576</v>
      </c>
      <c r="I314" s="509">
        <f>+I315</f>
        <v>236838</v>
      </c>
      <c r="J314" s="509">
        <f>+J315</f>
        <v>105288</v>
      </c>
    </row>
    <row r="315" spans="1:10" s="387" customFormat="1">
      <c r="A315" s="395"/>
      <c r="B315" s="396"/>
      <c r="C315" s="385"/>
      <c r="D315" s="385">
        <v>4655</v>
      </c>
      <c r="E315" s="385" t="s">
        <v>1134</v>
      </c>
      <c r="F315" s="389">
        <v>45431.200000000004</v>
      </c>
      <c r="G315" s="501">
        <v>105288</v>
      </c>
      <c r="H315" s="501">
        <v>210576</v>
      </c>
      <c r="I315" s="501">
        <v>236838</v>
      </c>
      <c r="J315" s="501">
        <v>105288</v>
      </c>
    </row>
    <row r="316" spans="1:10" s="543" customFormat="1">
      <c r="A316" s="574">
        <v>7</v>
      </c>
      <c r="B316" s="555">
        <v>1124</v>
      </c>
      <c r="C316" s="609" t="s">
        <v>515</v>
      </c>
      <c r="D316" s="610"/>
      <c r="E316" s="611"/>
      <c r="F316" s="376">
        <f>SUM(F317,F319,F321,F323,F325,F327,F329,F331)</f>
        <v>1743534.33</v>
      </c>
      <c r="G316" s="497">
        <f>SUM(G317,G319,G321,G323,G325,G327,G329,G331,G332)</f>
        <v>1808033.7</v>
      </c>
      <c r="H316" s="497">
        <f t="shared" ref="H316:J316" si="20">SUM(H317,H319,H321,H323,H325,H327,H329,H331,H332)</f>
        <v>1855705.9</v>
      </c>
      <c r="I316" s="497">
        <f t="shared" si="20"/>
        <v>1932929.9</v>
      </c>
      <c r="J316" s="497">
        <f t="shared" si="20"/>
        <v>1944929.9</v>
      </c>
    </row>
    <row r="317" spans="1:10" ht="25.5">
      <c r="A317" s="408"/>
      <c r="B317" s="373">
        <v>1124</v>
      </c>
      <c r="C317" s="421">
        <v>11002</v>
      </c>
      <c r="D317" s="421"/>
      <c r="E317" s="393" t="s">
        <v>516</v>
      </c>
      <c r="F317" s="419">
        <f>+F318</f>
        <v>44605.760000000002</v>
      </c>
      <c r="G317" s="509">
        <f>+G318</f>
        <v>41500</v>
      </c>
      <c r="H317" s="509">
        <f>+H318</f>
        <v>61500</v>
      </c>
      <c r="I317" s="509">
        <f>+I318</f>
        <v>66500</v>
      </c>
      <c r="J317" s="509">
        <f>+J318</f>
        <v>71500</v>
      </c>
    </row>
    <row r="318" spans="1:10" s="387" customFormat="1" ht="38.25">
      <c r="A318" s="395"/>
      <c r="B318" s="396"/>
      <c r="C318" s="385"/>
      <c r="D318" s="385">
        <v>4637</v>
      </c>
      <c r="E318" s="385" t="s">
        <v>1121</v>
      </c>
      <c r="F318" s="389">
        <v>44605.760000000002</v>
      </c>
      <c r="G318" s="501">
        <v>41500</v>
      </c>
      <c r="H318" s="501">
        <v>61500</v>
      </c>
      <c r="I318" s="501">
        <v>66500</v>
      </c>
      <c r="J318" s="501">
        <v>71500</v>
      </c>
    </row>
    <row r="319" spans="1:10">
      <c r="A319" s="408"/>
      <c r="B319" s="373">
        <v>1124</v>
      </c>
      <c r="C319" s="421">
        <v>11003</v>
      </c>
      <c r="D319" s="421"/>
      <c r="E319" s="393" t="s">
        <v>517</v>
      </c>
      <c r="F319" s="419">
        <f>+F320</f>
        <v>52926.95</v>
      </c>
      <c r="G319" s="509">
        <f>+G320</f>
        <v>62073.8</v>
      </c>
      <c r="H319" s="509">
        <f>+H320</f>
        <v>66332.600000000006</v>
      </c>
      <c r="I319" s="509">
        <f>+I320</f>
        <v>66332.600000000006</v>
      </c>
      <c r="J319" s="509">
        <f>+J320</f>
        <v>66332.600000000006</v>
      </c>
    </row>
    <row r="320" spans="1:10" s="387" customFormat="1">
      <c r="A320" s="395"/>
      <c r="B320" s="396"/>
      <c r="C320" s="385" t="s">
        <v>1186</v>
      </c>
      <c r="D320" s="385">
        <v>4639</v>
      </c>
      <c r="E320" s="385" t="s">
        <v>1119</v>
      </c>
      <c r="F320" s="389">
        <v>52926.95</v>
      </c>
      <c r="G320" s="501">
        <v>62073.8</v>
      </c>
      <c r="H320" s="501">
        <v>66332.600000000006</v>
      </c>
      <c r="I320" s="501">
        <v>66332.600000000006</v>
      </c>
      <c r="J320" s="501">
        <v>66332.600000000006</v>
      </c>
    </row>
    <row r="321" spans="1:10">
      <c r="A321" s="408"/>
      <c r="B321" s="373">
        <v>1124</v>
      </c>
      <c r="C321" s="421">
        <v>11004</v>
      </c>
      <c r="D321" s="421"/>
      <c r="E321" s="393" t="s">
        <v>518</v>
      </c>
      <c r="F321" s="419">
        <f>+F322</f>
        <v>1495454.21</v>
      </c>
      <c r="G321" s="509">
        <f>+G322</f>
        <v>1579338.9</v>
      </c>
      <c r="H321" s="509">
        <f>+H322</f>
        <v>1603538.9</v>
      </c>
      <c r="I321" s="509">
        <f>+I322</f>
        <v>1656762.9</v>
      </c>
      <c r="J321" s="509">
        <f>+J322</f>
        <v>1656762.9</v>
      </c>
    </row>
    <row r="322" spans="1:10" s="387" customFormat="1" ht="38.25">
      <c r="A322" s="395"/>
      <c r="B322" s="396"/>
      <c r="C322" s="385"/>
      <c r="D322" s="385">
        <v>4637</v>
      </c>
      <c r="E322" s="385" t="s">
        <v>1121</v>
      </c>
      <c r="F322" s="389">
        <v>1495454.21</v>
      </c>
      <c r="G322" s="501">
        <v>1579338.9</v>
      </c>
      <c r="H322" s="501">
        <f>+G322+4200+20000</f>
        <v>1603538.9</v>
      </c>
      <c r="I322" s="501">
        <v>1656762.9</v>
      </c>
      <c r="J322" s="501">
        <v>1656762.9</v>
      </c>
    </row>
    <row r="323" spans="1:10" ht="38.25">
      <c r="A323" s="408"/>
      <c r="B323" s="373">
        <v>1124</v>
      </c>
      <c r="C323" s="421">
        <v>11005</v>
      </c>
      <c r="D323" s="421"/>
      <c r="E323" s="393" t="s">
        <v>519</v>
      </c>
      <c r="F323" s="419">
        <f>+F324</f>
        <v>18540.05</v>
      </c>
      <c r="G323" s="509">
        <f>+G324</f>
        <v>33334.400000000001</v>
      </c>
      <c r="H323" s="509">
        <f>+H324</f>
        <v>43334.400000000001</v>
      </c>
      <c r="I323" s="509">
        <f>+I324</f>
        <v>43334.400000000001</v>
      </c>
      <c r="J323" s="509">
        <f>+J324</f>
        <v>43334.400000000001</v>
      </c>
    </row>
    <row r="324" spans="1:10" s="387" customFormat="1" ht="38.25">
      <c r="A324" s="395"/>
      <c r="B324" s="396"/>
      <c r="C324" s="385"/>
      <c r="D324" s="385">
        <v>4637</v>
      </c>
      <c r="E324" s="385" t="s">
        <v>1121</v>
      </c>
      <c r="F324" s="389">
        <v>18540.05</v>
      </c>
      <c r="G324" s="501">
        <v>33334.400000000001</v>
      </c>
      <c r="H324" s="501">
        <v>43334.400000000001</v>
      </c>
      <c r="I324" s="501">
        <v>43334.400000000001</v>
      </c>
      <c r="J324" s="501">
        <v>43334.400000000001</v>
      </c>
    </row>
    <row r="325" spans="1:10" ht="51">
      <c r="A325" s="408"/>
      <c r="B325" s="373">
        <v>1124</v>
      </c>
      <c r="C325" s="421">
        <v>11006</v>
      </c>
      <c r="D325" s="421"/>
      <c r="E325" s="393" t="s">
        <v>520</v>
      </c>
      <c r="F325" s="419">
        <f>+F326</f>
        <v>9786.58</v>
      </c>
      <c r="G325" s="509">
        <f>+G326</f>
        <v>9786.6</v>
      </c>
      <c r="H325" s="509">
        <f>+H326</f>
        <v>0</v>
      </c>
      <c r="I325" s="509">
        <f>+I326</f>
        <v>0</v>
      </c>
      <c r="J325" s="509">
        <f>+J326</f>
        <v>0</v>
      </c>
    </row>
    <row r="326" spans="1:10" s="387" customFormat="1">
      <c r="A326" s="395"/>
      <c r="B326" s="396"/>
      <c r="C326" s="385"/>
      <c r="D326" s="385">
        <v>4200</v>
      </c>
      <c r="E326" s="385" t="s">
        <v>1120</v>
      </c>
      <c r="F326" s="389">
        <v>9786.58</v>
      </c>
      <c r="G326" s="501">
        <v>9786.6</v>
      </c>
      <c r="H326" s="501">
        <v>0</v>
      </c>
      <c r="I326" s="501">
        <v>0</v>
      </c>
      <c r="J326" s="501">
        <v>0</v>
      </c>
    </row>
    <row r="327" spans="1:10">
      <c r="A327" s="408"/>
      <c r="B327" s="373">
        <v>1124</v>
      </c>
      <c r="C327" s="421">
        <v>11007</v>
      </c>
      <c r="D327" s="421"/>
      <c r="E327" s="393" t="s">
        <v>521</v>
      </c>
      <c r="F327" s="419">
        <f>+F328</f>
        <v>39643.08</v>
      </c>
      <c r="G327" s="509">
        <f>+G328</f>
        <v>42000</v>
      </c>
      <c r="H327" s="509">
        <f>+H328</f>
        <v>49000</v>
      </c>
      <c r="I327" s="509">
        <f>+I328</f>
        <v>56000</v>
      </c>
      <c r="J327" s="509">
        <f>+J328</f>
        <v>63000</v>
      </c>
    </row>
    <row r="328" spans="1:10" s="387" customFormat="1">
      <c r="A328" s="395"/>
      <c r="B328" s="396"/>
      <c r="C328" s="385"/>
      <c r="D328" s="385">
        <v>4639</v>
      </c>
      <c r="E328" s="385" t="s">
        <v>1119</v>
      </c>
      <c r="F328" s="389">
        <v>39643.08</v>
      </c>
      <c r="G328" s="501">
        <v>42000</v>
      </c>
      <c r="H328" s="501">
        <v>49000</v>
      </c>
      <c r="I328" s="501">
        <v>56000</v>
      </c>
      <c r="J328" s="501">
        <v>63000</v>
      </c>
    </row>
    <row r="329" spans="1:10" ht="25.5">
      <c r="A329" s="408"/>
      <c r="B329" s="420">
        <v>1124</v>
      </c>
      <c r="C329" s="415">
        <v>32001</v>
      </c>
      <c r="D329" s="415"/>
      <c r="E329" s="438" t="s">
        <v>741</v>
      </c>
      <c r="F329" s="417">
        <f>+F330</f>
        <v>40565.699999999997</v>
      </c>
      <c r="G329" s="522">
        <f>+G330</f>
        <v>20000</v>
      </c>
      <c r="H329" s="522">
        <f>+H330</f>
        <v>20000</v>
      </c>
      <c r="I329" s="522">
        <f>+I330</f>
        <v>20000</v>
      </c>
      <c r="J329" s="522">
        <f>+J330</f>
        <v>20000</v>
      </c>
    </row>
    <row r="330" spans="1:10" s="387" customFormat="1">
      <c r="A330" s="395"/>
      <c r="B330" s="396"/>
      <c r="C330" s="385"/>
      <c r="D330" s="385">
        <v>5129</v>
      </c>
      <c r="E330" s="385" t="s">
        <v>1135</v>
      </c>
      <c r="F330" s="389">
        <v>40565.699999999997</v>
      </c>
      <c r="G330" s="501">
        <v>20000</v>
      </c>
      <c r="H330" s="501">
        <v>20000</v>
      </c>
      <c r="I330" s="501">
        <v>20000</v>
      </c>
      <c r="J330" s="501">
        <v>20000</v>
      </c>
    </row>
    <row r="331" spans="1:10" s="394" customFormat="1" outlineLevel="1">
      <c r="A331" s="408"/>
      <c r="B331" s="420">
        <v>1124</v>
      </c>
      <c r="C331" s="415">
        <v>32002</v>
      </c>
      <c r="D331" s="546"/>
      <c r="E331" s="438" t="s">
        <v>742</v>
      </c>
      <c r="F331" s="417">
        <v>42012</v>
      </c>
      <c r="G331" s="501">
        <v>20000</v>
      </c>
      <c r="H331" s="514">
        <v>0</v>
      </c>
      <c r="I331" s="514">
        <v>0</v>
      </c>
      <c r="J331" s="514">
        <v>0</v>
      </c>
    </row>
    <row r="332" spans="1:10" s="587" customFormat="1" ht="38.25">
      <c r="A332" s="584"/>
      <c r="B332" s="585">
        <v>1124</v>
      </c>
      <c r="C332" s="568" t="s">
        <v>465</v>
      </c>
      <c r="D332" s="478"/>
      <c r="E332" s="472" t="s">
        <v>1225</v>
      </c>
      <c r="F332" s="391">
        <f>+F333+F334</f>
        <v>0</v>
      </c>
      <c r="G332" s="391">
        <f>+G333+G334</f>
        <v>0</v>
      </c>
      <c r="H332" s="586">
        <f>+H333+H334</f>
        <v>12000</v>
      </c>
      <c r="I332" s="586">
        <f>+I333+I334</f>
        <v>24000</v>
      </c>
      <c r="J332" s="391">
        <f>+J333+J334</f>
        <v>24000</v>
      </c>
    </row>
    <row r="333" spans="1:10" s="486" customFormat="1" ht="38.25">
      <c r="A333" s="482"/>
      <c r="B333" s="474"/>
      <c r="C333" s="475"/>
      <c r="D333" s="475">
        <v>4637</v>
      </c>
      <c r="E333" s="475" t="s">
        <v>1121</v>
      </c>
      <c r="F333" s="398">
        <v>0</v>
      </c>
      <c r="G333" s="398">
        <v>0</v>
      </c>
      <c r="H333" s="398">
        <v>6000</v>
      </c>
      <c r="I333" s="398">
        <v>12000</v>
      </c>
      <c r="J333" s="398">
        <v>12000</v>
      </c>
    </row>
    <row r="334" spans="1:10" s="486" customFormat="1" ht="38.25">
      <c r="A334" s="482"/>
      <c r="B334" s="474"/>
      <c r="C334" s="475"/>
      <c r="D334" s="475">
        <v>4655</v>
      </c>
      <c r="E334" s="475" t="s">
        <v>1162</v>
      </c>
      <c r="F334" s="398">
        <v>0</v>
      </c>
      <c r="G334" s="398">
        <v>0</v>
      </c>
      <c r="H334" s="398">
        <v>6000</v>
      </c>
      <c r="I334" s="398">
        <v>12000</v>
      </c>
      <c r="J334" s="398">
        <v>12000</v>
      </c>
    </row>
    <row r="335" spans="1:10" s="405" customFormat="1">
      <c r="A335" s="574">
        <v>8</v>
      </c>
      <c r="B335" s="555">
        <v>1130</v>
      </c>
      <c r="C335" s="616" t="s">
        <v>523</v>
      </c>
      <c r="D335" s="617"/>
      <c r="E335" s="618"/>
      <c r="F335" s="424">
        <f>SUM(F336,F340,F343,F344,F345,F346,F348,F350)</f>
        <v>1847403.26</v>
      </c>
      <c r="G335" s="562">
        <f>SUM(G336,G340,G343,G344,G345,G346,G348,G350)</f>
        <v>1964773</v>
      </c>
      <c r="H335" s="562">
        <f>SUM(H336,H340,H343,H344,H345,H346,H348,H350)</f>
        <v>2003935.7</v>
      </c>
      <c r="I335" s="562">
        <f>SUM(I336,I340,I343,I344,I345,I346,I348,I350)</f>
        <v>2009529.0999999999</v>
      </c>
      <c r="J335" s="562">
        <f>SUM(J336,J340,J343,J344,J345,J346,J348,J350)</f>
        <v>2153794.2000000002</v>
      </c>
    </row>
    <row r="336" spans="1:10" ht="51">
      <c r="A336" s="359"/>
      <c r="B336" s="378">
        <v>1130</v>
      </c>
      <c r="C336" s="371">
        <v>11001</v>
      </c>
      <c r="D336" s="371"/>
      <c r="E336" s="380" t="s">
        <v>1234</v>
      </c>
      <c r="F336" s="418">
        <f>+F337+F338+F339</f>
        <v>1693178.79</v>
      </c>
      <c r="G336" s="510">
        <f>+G337+G338+G339</f>
        <v>1820266.5</v>
      </c>
      <c r="H336" s="510">
        <f>+H337+H338+H339</f>
        <v>1856369.3</v>
      </c>
      <c r="I336" s="510">
        <f>+I337+I338+I339</f>
        <v>1864206.2</v>
      </c>
      <c r="J336" s="510">
        <f>+J337+J338+J339</f>
        <v>2008011.8</v>
      </c>
    </row>
    <row r="337" spans="1:10" s="387" customFormat="1" ht="38.25">
      <c r="A337" s="382"/>
      <c r="B337" s="383"/>
      <c r="C337" s="384"/>
      <c r="D337" s="385" t="s">
        <v>1189</v>
      </c>
      <c r="E337" s="385" t="s">
        <v>1136</v>
      </c>
      <c r="F337" s="386">
        <v>1512358.47</v>
      </c>
      <c r="G337" s="499">
        <v>1649324.4</v>
      </c>
      <c r="H337" s="501">
        <v>1680298.5</v>
      </c>
      <c r="I337" s="501">
        <v>1703235.5</v>
      </c>
      <c r="J337" s="501">
        <v>1707641</v>
      </c>
    </row>
    <row r="338" spans="1:10" s="387" customFormat="1">
      <c r="A338" s="382"/>
      <c r="B338" s="383"/>
      <c r="C338" s="384"/>
      <c r="D338" s="385">
        <v>4200</v>
      </c>
      <c r="E338" s="385" t="s">
        <v>1137</v>
      </c>
      <c r="F338" s="386">
        <v>180336.96</v>
      </c>
      <c r="G338" s="499">
        <v>170804.1</v>
      </c>
      <c r="H338" s="501">
        <v>175050.80000000005</v>
      </c>
      <c r="I338" s="501">
        <v>159950.69999999995</v>
      </c>
      <c r="J338" s="501">
        <v>299350.80000000005</v>
      </c>
    </row>
    <row r="339" spans="1:10" s="387" customFormat="1">
      <c r="A339" s="382"/>
      <c r="B339" s="383"/>
      <c r="C339" s="384"/>
      <c r="D339" s="385">
        <v>4861</v>
      </c>
      <c r="E339" s="385" t="s">
        <v>1138</v>
      </c>
      <c r="F339" s="386">
        <v>483.36</v>
      </c>
      <c r="G339" s="499">
        <v>138</v>
      </c>
      <c r="H339" s="501">
        <v>1020</v>
      </c>
      <c r="I339" s="501">
        <v>1020</v>
      </c>
      <c r="J339" s="501">
        <v>1020</v>
      </c>
    </row>
    <row r="340" spans="1:10" ht="25.5">
      <c r="A340" s="359"/>
      <c r="B340" s="378">
        <v>1130</v>
      </c>
      <c r="C340" s="371">
        <v>11002</v>
      </c>
      <c r="D340" s="371"/>
      <c r="E340" s="380" t="s">
        <v>525</v>
      </c>
      <c r="F340" s="418">
        <f>+F341+F342</f>
        <v>93412.77</v>
      </c>
      <c r="G340" s="510">
        <f>+G341+G342</f>
        <v>117896.5</v>
      </c>
      <c r="H340" s="509">
        <f>+H341+H342</f>
        <v>119973.4</v>
      </c>
      <c r="I340" s="509">
        <f>+I341+I342</f>
        <v>117729.9</v>
      </c>
      <c r="J340" s="509">
        <f>+J341+J342</f>
        <v>118189.4</v>
      </c>
    </row>
    <row r="341" spans="1:10" s="387" customFormat="1" ht="38.25">
      <c r="A341" s="382"/>
      <c r="B341" s="383"/>
      <c r="C341" s="384"/>
      <c r="D341" s="385" t="s">
        <v>1189</v>
      </c>
      <c r="E341" s="385" t="s">
        <v>1136</v>
      </c>
      <c r="F341" s="386">
        <v>90142.93</v>
      </c>
      <c r="G341" s="499">
        <v>111211.8</v>
      </c>
      <c r="H341" s="501">
        <v>112046.1</v>
      </c>
      <c r="I341" s="501">
        <v>112916.4</v>
      </c>
      <c r="J341" s="501">
        <v>113375.9</v>
      </c>
    </row>
    <row r="342" spans="1:10" s="387" customFormat="1">
      <c r="A342" s="382"/>
      <c r="B342" s="383"/>
      <c r="C342" s="384"/>
      <c r="D342" s="385">
        <v>4200</v>
      </c>
      <c r="E342" s="385" t="s">
        <v>1137</v>
      </c>
      <c r="F342" s="386">
        <v>3269.8400000000111</v>
      </c>
      <c r="G342" s="499">
        <v>6684.7</v>
      </c>
      <c r="H342" s="501">
        <v>7927.2999999999884</v>
      </c>
      <c r="I342" s="501">
        <v>4813.5</v>
      </c>
      <c r="J342" s="501">
        <v>4813.5</v>
      </c>
    </row>
    <row r="343" spans="1:10" s="394" customFormat="1" hidden="1" outlineLevel="1">
      <c r="A343" s="408"/>
      <c r="B343" s="373">
        <v>1130</v>
      </c>
      <c r="C343" s="421">
        <v>11003</v>
      </c>
      <c r="D343" s="421"/>
      <c r="E343" s="393" t="s">
        <v>526</v>
      </c>
      <c r="F343" s="419">
        <v>2203.36</v>
      </c>
      <c r="G343" s="509">
        <v>0</v>
      </c>
      <c r="H343" s="509">
        <v>0</v>
      </c>
      <c r="I343" s="509">
        <v>0</v>
      </c>
      <c r="J343" s="509">
        <v>0</v>
      </c>
    </row>
    <row r="344" spans="1:10" s="394" customFormat="1" ht="63.75" hidden="1" outlineLevel="1">
      <c r="A344" s="408"/>
      <c r="B344" s="373">
        <v>1130</v>
      </c>
      <c r="C344" s="421">
        <v>11004</v>
      </c>
      <c r="D344" s="421"/>
      <c r="E344" s="393" t="s">
        <v>527</v>
      </c>
      <c r="F344" s="419">
        <v>1903.75</v>
      </c>
      <c r="G344" s="509">
        <v>0</v>
      </c>
      <c r="H344" s="509">
        <v>0</v>
      </c>
      <c r="I344" s="509">
        <v>0</v>
      </c>
      <c r="J344" s="509">
        <v>0</v>
      </c>
    </row>
    <row r="345" spans="1:10" s="394" customFormat="1" ht="76.5" hidden="1" outlineLevel="1">
      <c r="A345" s="408"/>
      <c r="B345" s="373">
        <v>1130</v>
      </c>
      <c r="C345" s="421">
        <v>11005</v>
      </c>
      <c r="D345" s="421"/>
      <c r="E345" s="393" t="s">
        <v>528</v>
      </c>
      <c r="F345" s="419">
        <v>5512.41</v>
      </c>
      <c r="G345" s="509">
        <v>0</v>
      </c>
      <c r="H345" s="509">
        <v>0</v>
      </c>
      <c r="I345" s="509">
        <v>0</v>
      </c>
      <c r="J345" s="509">
        <v>0</v>
      </c>
    </row>
    <row r="346" spans="1:10" ht="38.25" collapsed="1">
      <c r="A346" s="359"/>
      <c r="B346" s="400">
        <v>1130</v>
      </c>
      <c r="C346" s="401">
        <v>31001</v>
      </c>
      <c r="D346" s="401"/>
      <c r="E346" s="402" t="s">
        <v>743</v>
      </c>
      <c r="F346" s="425">
        <f>+F347</f>
        <v>17347.2</v>
      </c>
      <c r="G346" s="513">
        <f>+G347</f>
        <v>26610</v>
      </c>
      <c r="H346" s="514">
        <f>+H347</f>
        <v>26874</v>
      </c>
      <c r="I346" s="514">
        <f>+I347</f>
        <v>26874</v>
      </c>
      <c r="J346" s="514">
        <f>+J347</f>
        <v>26874</v>
      </c>
    </row>
    <row r="347" spans="1:10" s="387" customFormat="1">
      <c r="A347" s="382"/>
      <c r="B347" s="383"/>
      <c r="C347" s="384"/>
      <c r="D347" s="385">
        <v>5122</v>
      </c>
      <c r="E347" s="385" t="s">
        <v>1139</v>
      </c>
      <c r="F347" s="386">
        <v>17347.2</v>
      </c>
      <c r="G347" s="499">
        <v>26610</v>
      </c>
      <c r="H347" s="501">
        <v>26874</v>
      </c>
      <c r="I347" s="501">
        <v>26874</v>
      </c>
      <c r="J347" s="501">
        <v>26874</v>
      </c>
    </row>
    <row r="348" spans="1:10" ht="51" collapsed="1">
      <c r="A348" s="359"/>
      <c r="B348" s="400">
        <v>1130</v>
      </c>
      <c r="C348" s="401">
        <v>31002</v>
      </c>
      <c r="D348" s="401"/>
      <c r="E348" s="402" t="s">
        <v>1188</v>
      </c>
      <c r="F348" s="425">
        <f>+F349</f>
        <v>0</v>
      </c>
      <c r="G348" s="513">
        <f>+G349</f>
        <v>0</v>
      </c>
      <c r="H348" s="513">
        <f>+H349</f>
        <v>719</v>
      </c>
      <c r="I348" s="513">
        <f>+I349</f>
        <v>719</v>
      </c>
      <c r="J348" s="513">
        <f>+J349</f>
        <v>719</v>
      </c>
    </row>
    <row r="349" spans="1:10" s="387" customFormat="1">
      <c r="A349" s="382"/>
      <c r="B349" s="383"/>
      <c r="C349" s="384"/>
      <c r="D349" s="385">
        <v>5122</v>
      </c>
      <c r="E349" s="385" t="s">
        <v>1139</v>
      </c>
      <c r="F349" s="386">
        <v>0</v>
      </c>
      <c r="G349" s="499">
        <v>0</v>
      </c>
      <c r="H349" s="501">
        <f>719</f>
        <v>719</v>
      </c>
      <c r="I349" s="501">
        <v>719</v>
      </c>
      <c r="J349" s="501">
        <v>719</v>
      </c>
    </row>
    <row r="350" spans="1:10" s="394" customFormat="1" ht="51" hidden="1" outlineLevel="1">
      <c r="A350" s="408"/>
      <c r="B350" s="420">
        <v>1130</v>
      </c>
      <c r="C350" s="415">
        <v>32001</v>
      </c>
      <c r="D350" s="415"/>
      <c r="E350" s="438" t="s">
        <v>744</v>
      </c>
      <c r="F350" s="426">
        <f>+F351</f>
        <v>33844.980000000003</v>
      </c>
      <c r="G350" s="514">
        <f>+G351</f>
        <v>0</v>
      </c>
      <c r="H350" s="514">
        <f>+H351</f>
        <v>0</v>
      </c>
      <c r="I350" s="514">
        <f>+I351</f>
        <v>0</v>
      </c>
      <c r="J350" s="514">
        <f>+J351</f>
        <v>0</v>
      </c>
    </row>
    <row r="351" spans="1:10" s="394" customFormat="1" hidden="1" outlineLevel="1">
      <c r="A351" s="408"/>
      <c r="B351" s="420"/>
      <c r="C351" s="415"/>
      <c r="D351" s="415"/>
      <c r="E351" s="438"/>
      <c r="F351" s="389">
        <v>33844.980000000003</v>
      </c>
      <c r="G351" s="501">
        <v>0</v>
      </c>
      <c r="H351" s="501"/>
      <c r="I351" s="501">
        <v>0</v>
      </c>
      <c r="J351" s="501">
        <v>0</v>
      </c>
    </row>
    <row r="352" spans="1:10" s="394" customFormat="1" collapsed="1">
      <c r="A352" s="574">
        <v>9</v>
      </c>
      <c r="B352" s="555">
        <v>1146</v>
      </c>
      <c r="C352" s="609" t="s">
        <v>529</v>
      </c>
      <c r="D352" s="619"/>
      <c r="E352" s="611"/>
      <c r="F352" s="561">
        <f>SUM(F353,F378,F403,F428,F430,F432,F434,F436,F438,F443,F444,F446,F448,F452,F456,F458,F459,F460,F461,F463,F465,F467,F469,F470,F472,F496,F498,F523,F524,F527,F530,F532,F533,F560,F583,F585)</f>
        <v>115332484.30999999</v>
      </c>
      <c r="G352" s="562">
        <f>SUM(G353,G378,G403,G428,G430,G432,G434,G436,G438,G443,G444,G446,G448,G452,G456,G458,G459,G460,G461,G463,G465,G467,G469,G470,G472,G496,G498,G523,G524,G527,G530,G532,G533,G560,G583,G585,G608)</f>
        <v>121947224.69999997</v>
      </c>
      <c r="H352" s="562">
        <f t="shared" ref="H352:J352" si="21">SUM(H353,H378,H403,H428,H430,H432,H434,H436,H438,H443,H444,H446,H448,H452,H456,H458,H459,H460,H461,H463,H465,H467,H469,H470,H472,H496,H498,H523,H524,H527,H530,H532,H533,H560,H583,H585,H608)</f>
        <v>138350754.44098994</v>
      </c>
      <c r="I352" s="562">
        <f t="shared" si="21"/>
        <v>138683737.63074097</v>
      </c>
      <c r="J352" s="562">
        <f t="shared" si="21"/>
        <v>139881648.13886768</v>
      </c>
    </row>
    <row r="353" spans="1:10">
      <c r="A353" s="408"/>
      <c r="B353" s="378">
        <v>1146</v>
      </c>
      <c r="C353" s="371">
        <v>11001</v>
      </c>
      <c r="D353" s="371"/>
      <c r="E353" s="380" t="s">
        <v>530</v>
      </c>
      <c r="F353" s="418">
        <f>SUM(F354,F356,F358,F360,F362,F364,F366,F368,F370,F372,F374,F376)</f>
        <v>37398127.280000001</v>
      </c>
      <c r="G353" s="510">
        <f>SUM(G354,G356,G358,G360,G362,G364,G366,G368,G370,G372,G374,G376)</f>
        <v>38029911.399999999</v>
      </c>
      <c r="H353" s="515">
        <f>SUM(H354,H356,H358,H360,H362,H364,H366,H368,H370,H372,H374,H376)</f>
        <v>43534665.984247841</v>
      </c>
      <c r="I353" s="515">
        <f t="shared" ref="I353:J353" si="22">SUM(I354,I356,I358,I360,I362,I364,I366,I368,I370,I372,I374,I376)</f>
        <v>43612998.160019428</v>
      </c>
      <c r="J353" s="515">
        <f t="shared" si="22"/>
        <v>43805734.819806941</v>
      </c>
    </row>
    <row r="354" spans="1:10" ht="25.5" hidden="1">
      <c r="A354" s="359"/>
      <c r="B354" s="373"/>
      <c r="C354" s="371"/>
      <c r="D354" s="421"/>
      <c r="E354" s="406" t="s">
        <v>1140</v>
      </c>
      <c r="F354" s="407">
        <f>+F355</f>
        <v>8204214.2999999998</v>
      </c>
      <c r="G354" s="506">
        <f>+G355</f>
        <v>7762472</v>
      </c>
      <c r="H354" s="516">
        <f t="shared" ref="H354:J354" si="23">+H355</f>
        <v>8665679.9700000007</v>
      </c>
      <c r="I354" s="516">
        <f t="shared" si="23"/>
        <v>8665156.1699999981</v>
      </c>
      <c r="J354" s="516">
        <f t="shared" si="23"/>
        <v>8665156.1699999981</v>
      </c>
    </row>
    <row r="355" spans="1:10" s="387" customFormat="1" ht="25.5" hidden="1">
      <c r="A355" s="382"/>
      <c r="B355" s="383"/>
      <c r="C355" s="384"/>
      <c r="D355" s="385">
        <v>4511</v>
      </c>
      <c r="E355" s="385" t="s">
        <v>1151</v>
      </c>
      <c r="F355" s="386">
        <v>8204214.2999999998</v>
      </c>
      <c r="G355" s="499">
        <v>7762472</v>
      </c>
      <c r="H355" s="504">
        <v>8665679.9700000007</v>
      </c>
      <c r="I355" s="504">
        <v>8665156.1699999981</v>
      </c>
      <c r="J355" s="504">
        <v>8665156.1699999981</v>
      </c>
    </row>
    <row r="356" spans="1:10" ht="25.5" hidden="1">
      <c r="A356" s="359"/>
      <c r="B356" s="373"/>
      <c r="C356" s="371"/>
      <c r="D356" s="421"/>
      <c r="E356" s="406" t="s">
        <v>1123</v>
      </c>
      <c r="F356" s="407">
        <f>+F357</f>
        <v>602715.70000000007</v>
      </c>
      <c r="G356" s="506">
        <f>+G357</f>
        <v>681916.7</v>
      </c>
      <c r="H356" s="506">
        <f t="shared" ref="H356:J356" si="24">+H357</f>
        <v>748336.37314989674</v>
      </c>
      <c r="I356" s="506">
        <f t="shared" si="24"/>
        <v>704435.56089544948</v>
      </c>
      <c r="J356" s="506">
        <f t="shared" si="24"/>
        <v>714886.45326695836</v>
      </c>
    </row>
    <row r="357" spans="1:10" s="387" customFormat="1" ht="25.5" hidden="1">
      <c r="A357" s="382"/>
      <c r="B357" s="383"/>
      <c r="C357" s="384"/>
      <c r="D357" s="385">
        <v>4511</v>
      </c>
      <c r="E357" s="385" t="s">
        <v>1151</v>
      </c>
      <c r="F357" s="386">
        <v>602715.70000000007</v>
      </c>
      <c r="G357" s="499">
        <v>681916.7</v>
      </c>
      <c r="H357" s="504">
        <f>[1]ԿԳՄՍՆ!$J$127</f>
        <v>748336.37314989674</v>
      </c>
      <c r="I357" s="504">
        <f>[2]ԿԳՄՍՆ!$J$127</f>
        <v>704435.56089544948</v>
      </c>
      <c r="J357" s="504">
        <f>[3]ԿԳՄՍՆ!$J$127</f>
        <v>714886.45326695836</v>
      </c>
    </row>
    <row r="358" spans="1:10" hidden="1">
      <c r="A358" s="359"/>
      <c r="B358" s="373"/>
      <c r="C358" s="371"/>
      <c r="D358" s="421"/>
      <c r="E358" s="406" t="s">
        <v>1141</v>
      </c>
      <c r="F358" s="407">
        <f>+F359</f>
        <v>2667787</v>
      </c>
      <c r="G358" s="506">
        <f>+G359</f>
        <v>2754566.9</v>
      </c>
      <c r="H358" s="516">
        <f t="shared" ref="H358:J358" si="25">+H359</f>
        <v>3277646.2</v>
      </c>
      <c r="I358" s="516">
        <f t="shared" si="25"/>
        <v>3317714</v>
      </c>
      <c r="J358" s="516">
        <f t="shared" si="25"/>
        <v>3317847.1</v>
      </c>
    </row>
    <row r="359" spans="1:10" s="387" customFormat="1" ht="25.5" hidden="1">
      <c r="A359" s="382"/>
      <c r="B359" s="383"/>
      <c r="C359" s="384"/>
      <c r="D359" s="385">
        <v>4511</v>
      </c>
      <c r="E359" s="385" t="s">
        <v>1151</v>
      </c>
      <c r="F359" s="386">
        <v>2667787</v>
      </c>
      <c r="G359" s="499">
        <v>2754566.9</v>
      </c>
      <c r="H359" s="504">
        <v>3277646.2</v>
      </c>
      <c r="I359" s="504">
        <v>3317714</v>
      </c>
      <c r="J359" s="504">
        <v>3317847.1</v>
      </c>
    </row>
    <row r="360" spans="1:10" hidden="1">
      <c r="A360" s="359"/>
      <c r="B360" s="373"/>
      <c r="C360" s="371"/>
      <c r="D360" s="421"/>
      <c r="E360" s="406" t="s">
        <v>1142</v>
      </c>
      <c r="F360" s="407">
        <f>+F361</f>
        <v>3582075.9</v>
      </c>
      <c r="G360" s="506">
        <f>+G361</f>
        <v>3368545.6</v>
      </c>
      <c r="H360" s="516">
        <f t="shared" ref="H360:J360" si="26">+H361</f>
        <v>4150899.7269206061</v>
      </c>
      <c r="I360" s="516">
        <f t="shared" si="26"/>
        <v>4078263.3482944909</v>
      </c>
      <c r="J360" s="516">
        <f t="shared" si="26"/>
        <v>4043438.3854398597</v>
      </c>
    </row>
    <row r="361" spans="1:10" s="387" customFormat="1" ht="25.5" hidden="1">
      <c r="A361" s="382"/>
      <c r="B361" s="383"/>
      <c r="C361" s="384"/>
      <c r="D361" s="385">
        <v>4511</v>
      </c>
      <c r="E361" s="385" t="s">
        <v>1151</v>
      </c>
      <c r="F361" s="386">
        <v>3582075.9</v>
      </c>
      <c r="G361" s="499">
        <v>3368545.6</v>
      </c>
      <c r="H361" s="504">
        <v>4150899.7269206061</v>
      </c>
      <c r="I361" s="504">
        <v>4078263.3482944909</v>
      </c>
      <c r="J361" s="504">
        <v>4043438.3854398597</v>
      </c>
    </row>
    <row r="362" spans="1:10" hidden="1">
      <c r="A362" s="359"/>
      <c r="B362" s="373"/>
      <c r="C362" s="371"/>
      <c r="D362" s="421"/>
      <c r="E362" s="406" t="s">
        <v>1143</v>
      </c>
      <c r="F362" s="407">
        <f>+F363</f>
        <v>3343884.5</v>
      </c>
      <c r="G362" s="506">
        <f>+G363</f>
        <v>3264324.3</v>
      </c>
      <c r="H362" s="516">
        <f t="shared" ref="H362:J362" si="27">+H363</f>
        <v>3604882.4</v>
      </c>
      <c r="I362" s="516">
        <f t="shared" si="27"/>
        <v>3574091.9</v>
      </c>
      <c r="J362" s="516">
        <f t="shared" si="27"/>
        <v>3569972</v>
      </c>
    </row>
    <row r="363" spans="1:10" s="387" customFormat="1" ht="25.5" hidden="1">
      <c r="A363" s="382"/>
      <c r="B363" s="383"/>
      <c r="C363" s="384"/>
      <c r="D363" s="385">
        <v>4511</v>
      </c>
      <c r="E363" s="385" t="s">
        <v>1151</v>
      </c>
      <c r="F363" s="386">
        <v>3343884.5</v>
      </c>
      <c r="G363" s="499">
        <v>3264324.3</v>
      </c>
      <c r="H363" s="504">
        <v>3604882.4</v>
      </c>
      <c r="I363" s="504">
        <v>3574091.9</v>
      </c>
      <c r="J363" s="504">
        <v>3569972</v>
      </c>
    </row>
    <row r="364" spans="1:10" hidden="1">
      <c r="A364" s="359"/>
      <c r="B364" s="373"/>
      <c r="C364" s="371"/>
      <c r="D364" s="421"/>
      <c r="E364" s="406" t="s">
        <v>1144</v>
      </c>
      <c r="F364" s="407">
        <f>+F365</f>
        <v>3265716</v>
      </c>
      <c r="G364" s="506">
        <f>+G365</f>
        <v>3453055.6</v>
      </c>
      <c r="H364" s="516">
        <f t="shared" ref="H364:J364" si="28">+H365</f>
        <v>3731269.3</v>
      </c>
      <c r="I364" s="516">
        <f t="shared" si="28"/>
        <v>3918594.8</v>
      </c>
      <c r="J364" s="516">
        <f t="shared" si="28"/>
        <v>4013591.2</v>
      </c>
    </row>
    <row r="365" spans="1:10" s="387" customFormat="1" ht="25.5" hidden="1">
      <c r="A365" s="382"/>
      <c r="B365" s="383"/>
      <c r="C365" s="384"/>
      <c r="D365" s="385">
        <v>4511</v>
      </c>
      <c r="E365" s="385" t="s">
        <v>1151</v>
      </c>
      <c r="F365" s="386">
        <v>3265716</v>
      </c>
      <c r="G365" s="499">
        <v>3453055.6</v>
      </c>
      <c r="H365" s="504">
        <v>3731269.3</v>
      </c>
      <c r="I365" s="504">
        <v>3918594.8</v>
      </c>
      <c r="J365" s="504">
        <v>4013591.2</v>
      </c>
    </row>
    <row r="366" spans="1:10" hidden="1">
      <c r="A366" s="359"/>
      <c r="B366" s="373"/>
      <c r="C366" s="371"/>
      <c r="D366" s="421"/>
      <c r="E366" s="406" t="s">
        <v>1145</v>
      </c>
      <c r="F366" s="407">
        <f>+F367</f>
        <v>3599196.5</v>
      </c>
      <c r="G366" s="506">
        <f>+G367</f>
        <v>3794353.7</v>
      </c>
      <c r="H366" s="516">
        <f t="shared" ref="H366:J366" si="29">+H367</f>
        <v>4270039</v>
      </c>
      <c r="I366" s="516">
        <f t="shared" si="29"/>
        <v>4295350.3</v>
      </c>
      <c r="J366" s="516">
        <f t="shared" si="29"/>
        <v>4342903.2</v>
      </c>
    </row>
    <row r="367" spans="1:10" s="387" customFormat="1" ht="25.5" hidden="1">
      <c r="A367" s="382"/>
      <c r="B367" s="383"/>
      <c r="C367" s="384"/>
      <c r="D367" s="385">
        <v>4511</v>
      </c>
      <c r="E367" s="385" t="s">
        <v>1151</v>
      </c>
      <c r="F367" s="386">
        <v>3599196.5</v>
      </c>
      <c r="G367" s="499">
        <v>3794353.7</v>
      </c>
      <c r="H367" s="504">
        <v>4270039</v>
      </c>
      <c r="I367" s="504">
        <v>4295350.3</v>
      </c>
      <c r="J367" s="504">
        <v>4342903.2</v>
      </c>
    </row>
    <row r="368" spans="1:10" hidden="1">
      <c r="A368" s="359"/>
      <c r="B368" s="373"/>
      <c r="C368" s="371"/>
      <c r="D368" s="421"/>
      <c r="E368" s="406" t="s">
        <v>1146</v>
      </c>
      <c r="F368" s="407">
        <f>+F369</f>
        <v>3182891.98</v>
      </c>
      <c r="G368" s="506">
        <f>+G369</f>
        <v>3209564.9</v>
      </c>
      <c r="H368" s="506">
        <f t="shared" ref="H368:J368" si="30">+H369</f>
        <v>4137515.8</v>
      </c>
      <c r="I368" s="506">
        <f t="shared" si="30"/>
        <v>4137515.8</v>
      </c>
      <c r="J368" s="506">
        <f t="shared" si="30"/>
        <v>4137515.8</v>
      </c>
    </row>
    <row r="369" spans="1:10" s="387" customFormat="1" ht="25.5" hidden="1">
      <c r="A369" s="382"/>
      <c r="B369" s="383"/>
      <c r="C369" s="384"/>
      <c r="D369" s="385">
        <v>4511</v>
      </c>
      <c r="E369" s="385" t="s">
        <v>1151</v>
      </c>
      <c r="F369" s="386">
        <v>3182891.98</v>
      </c>
      <c r="G369" s="499">
        <v>3209564.9</v>
      </c>
      <c r="H369" s="504">
        <v>4137515.8</v>
      </c>
      <c r="I369" s="504">
        <v>4137515.8</v>
      </c>
      <c r="J369" s="504">
        <v>4137515.8</v>
      </c>
    </row>
    <row r="370" spans="1:10" hidden="1">
      <c r="A370" s="359"/>
      <c r="B370" s="373"/>
      <c r="C370" s="371"/>
      <c r="D370" s="421"/>
      <c r="E370" s="406" t="s">
        <v>1147</v>
      </c>
      <c r="F370" s="407">
        <f>+F371</f>
        <v>3738558.7</v>
      </c>
      <c r="G370" s="506">
        <f>+G371</f>
        <v>4253467.4000000004</v>
      </c>
      <c r="H370" s="516">
        <f t="shared" ref="H370:J370" si="31">+H371</f>
        <v>4712134.7141773384</v>
      </c>
      <c r="I370" s="516">
        <f t="shared" si="31"/>
        <v>4687276.9808294801</v>
      </c>
      <c r="J370" s="516">
        <f t="shared" si="31"/>
        <v>4744816.8111001235</v>
      </c>
    </row>
    <row r="371" spans="1:10" s="387" customFormat="1" ht="25.5" hidden="1">
      <c r="A371" s="382"/>
      <c r="B371" s="383"/>
      <c r="C371" s="384"/>
      <c r="D371" s="385">
        <v>4511</v>
      </c>
      <c r="E371" s="385" t="s">
        <v>1151</v>
      </c>
      <c r="F371" s="386">
        <v>3738558.7</v>
      </c>
      <c r="G371" s="499">
        <v>4253467.4000000004</v>
      </c>
      <c r="H371" s="504">
        <v>4712134.7141773384</v>
      </c>
      <c r="I371" s="504">
        <v>4687276.9808294801</v>
      </c>
      <c r="J371" s="504">
        <v>4744816.8111001235</v>
      </c>
    </row>
    <row r="372" spans="1:10" hidden="1">
      <c r="A372" s="359"/>
      <c r="B372" s="373"/>
      <c r="C372" s="371"/>
      <c r="D372" s="421"/>
      <c r="E372" s="406" t="s">
        <v>1148</v>
      </c>
      <c r="F372" s="407">
        <f>+F373</f>
        <v>2372063.2000000002</v>
      </c>
      <c r="G372" s="506">
        <f>+G373</f>
        <v>2402665.9</v>
      </c>
      <c r="H372" s="516">
        <f t="shared" ref="H372:J372" si="32">+H373</f>
        <v>2814459.6</v>
      </c>
      <c r="I372" s="516">
        <f t="shared" si="32"/>
        <v>2827884.7</v>
      </c>
      <c r="J372" s="516">
        <f t="shared" si="32"/>
        <v>2869281.2</v>
      </c>
    </row>
    <row r="373" spans="1:10" s="387" customFormat="1" ht="25.5" hidden="1">
      <c r="A373" s="382"/>
      <c r="B373" s="383"/>
      <c r="C373" s="384"/>
      <c r="D373" s="385">
        <v>4511</v>
      </c>
      <c r="E373" s="385" t="s">
        <v>1151</v>
      </c>
      <c r="F373" s="386">
        <v>2372063.2000000002</v>
      </c>
      <c r="G373" s="499">
        <v>2402665.9</v>
      </c>
      <c r="H373" s="517">
        <v>2814459.6</v>
      </c>
      <c r="I373" s="517">
        <v>2827884.7</v>
      </c>
      <c r="J373" s="517">
        <v>2869281.2</v>
      </c>
    </row>
    <row r="374" spans="1:10" hidden="1">
      <c r="A374" s="359"/>
      <c r="B374" s="373"/>
      <c r="C374" s="371"/>
      <c r="D374" s="421"/>
      <c r="E374" s="406" t="s">
        <v>1149</v>
      </c>
      <c r="F374" s="407">
        <f>+F375</f>
        <v>851038.6</v>
      </c>
      <c r="G374" s="506">
        <f>+G375</f>
        <v>995748.9</v>
      </c>
      <c r="H374" s="516">
        <f t="shared" ref="H374:J374" si="33">+H375</f>
        <v>1052048.8999999999</v>
      </c>
      <c r="I374" s="516">
        <f t="shared" si="33"/>
        <v>1061348.1000000001</v>
      </c>
      <c r="J374" s="516">
        <f t="shared" si="33"/>
        <v>1056276</v>
      </c>
    </row>
    <row r="375" spans="1:10" s="387" customFormat="1" ht="25.5" hidden="1">
      <c r="A375" s="382"/>
      <c r="B375" s="383"/>
      <c r="C375" s="384"/>
      <c r="D375" s="385">
        <v>4511</v>
      </c>
      <c r="E375" s="385" t="s">
        <v>1151</v>
      </c>
      <c r="F375" s="386">
        <v>851038.6</v>
      </c>
      <c r="G375" s="499">
        <v>995748.9</v>
      </c>
      <c r="H375" s="504">
        <v>1052048.8999999999</v>
      </c>
      <c r="I375" s="504">
        <v>1061348.1000000001</v>
      </c>
      <c r="J375" s="504">
        <v>1056276</v>
      </c>
    </row>
    <row r="376" spans="1:10" hidden="1">
      <c r="A376" s="359"/>
      <c r="B376" s="373"/>
      <c r="C376" s="371"/>
      <c r="D376" s="421"/>
      <c r="E376" s="406" t="s">
        <v>1150</v>
      </c>
      <c r="F376" s="407">
        <f>+F377</f>
        <v>1987984.9</v>
      </c>
      <c r="G376" s="506">
        <f>+G377</f>
        <v>2089229.5</v>
      </c>
      <c r="H376" s="516">
        <f t="shared" ref="H376:J376" si="34">+H377</f>
        <v>2369754</v>
      </c>
      <c r="I376" s="516">
        <f t="shared" si="34"/>
        <v>2345366.5</v>
      </c>
      <c r="J376" s="516">
        <f t="shared" si="34"/>
        <v>2330050.5</v>
      </c>
    </row>
    <row r="377" spans="1:10" s="387" customFormat="1" ht="25.5" hidden="1">
      <c r="A377" s="382"/>
      <c r="B377" s="383"/>
      <c r="C377" s="384"/>
      <c r="D377" s="385">
        <v>4511</v>
      </c>
      <c r="E377" s="385" t="s">
        <v>1151</v>
      </c>
      <c r="F377" s="386">
        <v>1987984.9</v>
      </c>
      <c r="G377" s="499">
        <v>2089229.5</v>
      </c>
      <c r="H377" s="504">
        <v>2369754</v>
      </c>
      <c r="I377" s="504">
        <v>2345366.5</v>
      </c>
      <c r="J377" s="504">
        <v>2330050.5</v>
      </c>
    </row>
    <row r="378" spans="1:10">
      <c r="A378" s="408"/>
      <c r="B378" s="378">
        <v>1146</v>
      </c>
      <c r="C378" s="371">
        <v>11002</v>
      </c>
      <c r="D378" s="371"/>
      <c r="E378" s="380" t="s">
        <v>531</v>
      </c>
      <c r="F378" s="418">
        <f>SUM(F379,F381,F383,F385,F387,F389,F391,F393,F395,F397,F399,F401)</f>
        <v>44650514.600000001</v>
      </c>
      <c r="G378" s="510">
        <f>SUM(G379,G381,G383,G385,G387,G389,G391,G393,G395,G397,G399,G401)</f>
        <v>46962054.099999994</v>
      </c>
      <c r="H378" s="515">
        <f>SUM(H379,H381,H383,H385,H387,H389,H391,H393,H395,H397,H399,H401)</f>
        <v>53080712.636564635</v>
      </c>
      <c r="I378" s="515">
        <f t="shared" ref="I378:J378" si="35">SUM(I379,I381,I383,I385,I387,I389,I391,I393,I395,I397,I399,I401)</f>
        <v>53268822.370127566</v>
      </c>
      <c r="J378" s="515">
        <f t="shared" si="35"/>
        <v>53201003.941390797</v>
      </c>
    </row>
    <row r="379" spans="1:10" ht="25.5" hidden="1">
      <c r="A379" s="359"/>
      <c r="B379" s="373"/>
      <c r="C379" s="371"/>
      <c r="D379" s="421"/>
      <c r="E379" s="406" t="s">
        <v>1140</v>
      </c>
      <c r="F379" s="407">
        <f>+F380</f>
        <v>9477064.5999999996</v>
      </c>
      <c r="G379" s="506">
        <f>+G380</f>
        <v>9527499.4000000004</v>
      </c>
      <c r="H379" s="516">
        <f t="shared" ref="H379:J379" si="36">+H380</f>
        <v>12214730.200000001</v>
      </c>
      <c r="I379" s="516">
        <f t="shared" si="36"/>
        <v>12216514.5</v>
      </c>
      <c r="J379" s="516">
        <f t="shared" si="36"/>
        <v>12216514.5</v>
      </c>
    </row>
    <row r="380" spans="1:10" s="387" customFormat="1" ht="25.5" hidden="1">
      <c r="A380" s="382"/>
      <c r="B380" s="383"/>
      <c r="C380" s="384"/>
      <c r="D380" s="385">
        <v>4511</v>
      </c>
      <c r="E380" s="385" t="s">
        <v>1151</v>
      </c>
      <c r="F380" s="386">
        <v>9477064.5999999996</v>
      </c>
      <c r="G380" s="499">
        <v>9527499.4000000004</v>
      </c>
      <c r="H380" s="504">
        <v>12214730.200000001</v>
      </c>
      <c r="I380" s="504">
        <v>12216514.5</v>
      </c>
      <c r="J380" s="504">
        <v>12216514.5</v>
      </c>
    </row>
    <row r="381" spans="1:10" ht="25.5" hidden="1">
      <c r="A381" s="359"/>
      <c r="B381" s="373"/>
      <c r="C381" s="371"/>
      <c r="D381" s="421"/>
      <c r="E381" s="406" t="s">
        <v>1123</v>
      </c>
      <c r="F381" s="407">
        <f>+F382</f>
        <v>1137049.6000000001</v>
      </c>
      <c r="G381" s="506">
        <f>+G382</f>
        <v>1294326.8</v>
      </c>
      <c r="H381" s="506">
        <f t="shared" ref="H381:J381" si="37">+H382</f>
        <v>1529523.822204439</v>
      </c>
      <c r="I381" s="506">
        <f t="shared" si="37"/>
        <v>1471958.2305672958</v>
      </c>
      <c r="J381" s="506">
        <f t="shared" si="37"/>
        <v>1372819.8849518197</v>
      </c>
    </row>
    <row r="382" spans="1:10" s="387" customFormat="1" ht="25.5" hidden="1">
      <c r="A382" s="382"/>
      <c r="B382" s="383"/>
      <c r="C382" s="384"/>
      <c r="D382" s="385">
        <v>4511</v>
      </c>
      <c r="E382" s="385" t="s">
        <v>1151</v>
      </c>
      <c r="F382" s="386">
        <v>1137049.6000000001</v>
      </c>
      <c r="G382" s="499">
        <v>1294326.8</v>
      </c>
      <c r="H382" s="504">
        <f>[1]ԿԳՄՍՆ!$K$127</f>
        <v>1529523.822204439</v>
      </c>
      <c r="I382" s="504">
        <f>[2]ԿԳՄՍՆ!$K$127</f>
        <v>1471958.2305672958</v>
      </c>
      <c r="J382" s="504">
        <f>[3]ԿԳՄՍՆ!$K$127</f>
        <v>1372819.8849518197</v>
      </c>
    </row>
    <row r="383" spans="1:10" hidden="1">
      <c r="A383" s="359"/>
      <c r="B383" s="373"/>
      <c r="C383" s="371"/>
      <c r="D383" s="421"/>
      <c r="E383" s="406" t="s">
        <v>1141</v>
      </c>
      <c r="F383" s="407">
        <f>+F384</f>
        <v>3011272.3</v>
      </c>
      <c r="G383" s="506">
        <f>+G384</f>
        <v>3356027</v>
      </c>
      <c r="H383" s="516">
        <f t="shared" ref="H383:J383" si="38">+H384</f>
        <v>3695799.3</v>
      </c>
      <c r="I383" s="516">
        <f t="shared" si="38"/>
        <v>3736064.2</v>
      </c>
      <c r="J383" s="516">
        <f t="shared" si="38"/>
        <v>3736055.1</v>
      </c>
    </row>
    <row r="384" spans="1:10" s="387" customFormat="1" ht="25.5" hidden="1">
      <c r="A384" s="382"/>
      <c r="B384" s="383"/>
      <c r="C384" s="384"/>
      <c r="D384" s="385">
        <v>4511</v>
      </c>
      <c r="E384" s="385" t="s">
        <v>1151</v>
      </c>
      <c r="F384" s="386">
        <v>3011272.3</v>
      </c>
      <c r="G384" s="499">
        <v>3356027</v>
      </c>
      <c r="H384" s="504">
        <v>3695799.3</v>
      </c>
      <c r="I384" s="504">
        <v>3736064.2</v>
      </c>
      <c r="J384" s="504">
        <v>3736055.1</v>
      </c>
    </row>
    <row r="385" spans="1:10" hidden="1">
      <c r="A385" s="359"/>
      <c r="B385" s="373"/>
      <c r="C385" s="371"/>
      <c r="D385" s="421"/>
      <c r="E385" s="406" t="s">
        <v>1142</v>
      </c>
      <c r="F385" s="407">
        <f>+F386</f>
        <v>4158209.5</v>
      </c>
      <c r="G385" s="506">
        <f>+G386</f>
        <v>4131711.9</v>
      </c>
      <c r="H385" s="516">
        <f t="shared" ref="H385:J385" si="39">+H386</f>
        <v>4482526.9860807266</v>
      </c>
      <c r="I385" s="516">
        <f t="shared" si="39"/>
        <v>4451203.7643645871</v>
      </c>
      <c r="J385" s="516">
        <f t="shared" si="39"/>
        <v>4432827.6907506175</v>
      </c>
    </row>
    <row r="386" spans="1:10" s="387" customFormat="1" ht="25.5" hidden="1">
      <c r="A386" s="382"/>
      <c r="B386" s="383"/>
      <c r="C386" s="384"/>
      <c r="D386" s="385">
        <v>4511</v>
      </c>
      <c r="E386" s="385" t="s">
        <v>1151</v>
      </c>
      <c r="F386" s="386">
        <v>4158209.5</v>
      </c>
      <c r="G386" s="499">
        <v>4131711.9</v>
      </c>
      <c r="H386" s="504">
        <v>4482526.9860807266</v>
      </c>
      <c r="I386" s="504">
        <v>4451203.7643645871</v>
      </c>
      <c r="J386" s="504">
        <v>4432827.6907506175</v>
      </c>
    </row>
    <row r="387" spans="1:10" hidden="1">
      <c r="A387" s="359"/>
      <c r="B387" s="373"/>
      <c r="C387" s="371"/>
      <c r="D387" s="421"/>
      <c r="E387" s="406" t="s">
        <v>1143</v>
      </c>
      <c r="F387" s="407">
        <f>+F388</f>
        <v>4060571.2</v>
      </c>
      <c r="G387" s="506">
        <f>+G388</f>
        <v>4057508.4</v>
      </c>
      <c r="H387" s="516">
        <f t="shared" ref="H387:J387" si="40">+H388</f>
        <v>4540172.9000000004</v>
      </c>
      <c r="I387" s="516">
        <f t="shared" si="40"/>
        <v>4542852.2</v>
      </c>
      <c r="J387" s="516">
        <f t="shared" si="40"/>
        <v>4509103.7</v>
      </c>
    </row>
    <row r="388" spans="1:10" s="387" customFormat="1" ht="25.5" hidden="1">
      <c r="A388" s="382"/>
      <c r="B388" s="383"/>
      <c r="C388" s="384"/>
      <c r="D388" s="385">
        <v>4511</v>
      </c>
      <c r="E388" s="385" t="s">
        <v>1151</v>
      </c>
      <c r="F388" s="386">
        <v>4060571.2</v>
      </c>
      <c r="G388" s="499">
        <v>4057508.4</v>
      </c>
      <c r="H388" s="504">
        <v>4540172.9000000004</v>
      </c>
      <c r="I388" s="504">
        <v>4542852.2</v>
      </c>
      <c r="J388" s="504">
        <v>4509103.7</v>
      </c>
    </row>
    <row r="389" spans="1:10" hidden="1">
      <c r="A389" s="359"/>
      <c r="B389" s="373"/>
      <c r="C389" s="371"/>
      <c r="D389" s="421"/>
      <c r="E389" s="406" t="s">
        <v>1144</v>
      </c>
      <c r="F389" s="407">
        <f>+F390</f>
        <v>3771700.2</v>
      </c>
      <c r="G389" s="506">
        <f>+G390</f>
        <v>4137368.4</v>
      </c>
      <c r="H389" s="516">
        <f t="shared" ref="H389:J389" si="41">+H390</f>
        <v>4337090.4960000003</v>
      </c>
      <c r="I389" s="516">
        <f t="shared" si="41"/>
        <v>4524184.4399999995</v>
      </c>
      <c r="J389" s="516">
        <f t="shared" si="41"/>
        <v>4610499.2399999993</v>
      </c>
    </row>
    <row r="390" spans="1:10" s="387" customFormat="1" ht="25.5" hidden="1">
      <c r="A390" s="382"/>
      <c r="B390" s="383"/>
      <c r="C390" s="384"/>
      <c r="D390" s="385">
        <v>4511</v>
      </c>
      <c r="E390" s="385" t="s">
        <v>1151</v>
      </c>
      <c r="F390" s="386">
        <v>3771700.2</v>
      </c>
      <c r="G390" s="499">
        <v>4137368.4</v>
      </c>
      <c r="H390" s="518">
        <v>4337090.4960000003</v>
      </c>
      <c r="I390" s="518">
        <v>4524184.4399999995</v>
      </c>
      <c r="J390" s="518">
        <v>4610499.2399999993</v>
      </c>
    </row>
    <row r="391" spans="1:10" hidden="1">
      <c r="A391" s="359"/>
      <c r="B391" s="373"/>
      <c r="C391" s="371"/>
      <c r="D391" s="421"/>
      <c r="E391" s="406" t="s">
        <v>1145</v>
      </c>
      <c r="F391" s="407">
        <f>+F392</f>
        <v>4289771</v>
      </c>
      <c r="G391" s="506">
        <f>+G392</f>
        <v>4645130.5</v>
      </c>
      <c r="H391" s="516">
        <f t="shared" ref="H391:J391" si="42">+H392</f>
        <v>4910544.8</v>
      </c>
      <c r="I391" s="516">
        <f t="shared" si="42"/>
        <v>4939652.8</v>
      </c>
      <c r="J391" s="516">
        <f t="shared" si="42"/>
        <v>4994338.7</v>
      </c>
    </row>
    <row r="392" spans="1:10" s="387" customFormat="1" ht="25.5" hidden="1">
      <c r="A392" s="382"/>
      <c r="B392" s="383"/>
      <c r="C392" s="384"/>
      <c r="D392" s="385">
        <v>4511</v>
      </c>
      <c r="E392" s="385" t="s">
        <v>1151</v>
      </c>
      <c r="F392" s="386">
        <v>4289771</v>
      </c>
      <c r="G392" s="499">
        <v>4645130.5</v>
      </c>
      <c r="H392" s="504">
        <v>4910544.8</v>
      </c>
      <c r="I392" s="504">
        <v>4939652.8</v>
      </c>
      <c r="J392" s="504">
        <v>4994338.7</v>
      </c>
    </row>
    <row r="393" spans="1:10" hidden="1">
      <c r="A393" s="359"/>
      <c r="B393" s="373"/>
      <c r="C393" s="371"/>
      <c r="D393" s="421"/>
      <c r="E393" s="406" t="s">
        <v>1146</v>
      </c>
      <c r="F393" s="407">
        <f>+F394</f>
        <v>4186754.9</v>
      </c>
      <c r="G393" s="506">
        <f>+G394</f>
        <v>4026326</v>
      </c>
      <c r="H393" s="516">
        <f t="shared" ref="H393:J393" si="43">+H394</f>
        <v>4677854.2</v>
      </c>
      <c r="I393" s="516">
        <f t="shared" si="43"/>
        <v>4677854.2</v>
      </c>
      <c r="J393" s="516">
        <f t="shared" si="43"/>
        <v>4677854.2</v>
      </c>
    </row>
    <row r="394" spans="1:10" s="387" customFormat="1" ht="25.5" hidden="1">
      <c r="A394" s="382"/>
      <c r="B394" s="383"/>
      <c r="C394" s="384"/>
      <c r="D394" s="385">
        <v>4511</v>
      </c>
      <c r="E394" s="385" t="s">
        <v>1151</v>
      </c>
      <c r="F394" s="386">
        <v>4186754.9</v>
      </c>
      <c r="G394" s="499">
        <v>4026326</v>
      </c>
      <c r="H394" s="504">
        <v>4677854.2</v>
      </c>
      <c r="I394" s="504">
        <v>4677854.2</v>
      </c>
      <c r="J394" s="504">
        <v>4677854.2</v>
      </c>
    </row>
    <row r="395" spans="1:10" hidden="1">
      <c r="A395" s="359"/>
      <c r="B395" s="373"/>
      <c r="C395" s="371"/>
      <c r="D395" s="421"/>
      <c r="E395" s="406" t="s">
        <v>1147</v>
      </c>
      <c r="F395" s="407">
        <f>+F396</f>
        <v>3938503.5</v>
      </c>
      <c r="G395" s="506">
        <f>+G396</f>
        <v>4968157.8</v>
      </c>
      <c r="H395" s="516">
        <f t="shared" ref="H395:J395" si="44">+H396</f>
        <v>4975640.5322794709</v>
      </c>
      <c r="I395" s="516">
        <f t="shared" si="44"/>
        <v>5004836.8351956857</v>
      </c>
      <c r="J395" s="516">
        <f t="shared" si="44"/>
        <v>4991825.9256883562</v>
      </c>
    </row>
    <row r="396" spans="1:10" s="387" customFormat="1" ht="25.5" hidden="1">
      <c r="A396" s="382"/>
      <c r="B396" s="383"/>
      <c r="C396" s="384"/>
      <c r="D396" s="385">
        <v>4511</v>
      </c>
      <c r="E396" s="385" t="s">
        <v>1151</v>
      </c>
      <c r="F396" s="386">
        <v>3938503.5</v>
      </c>
      <c r="G396" s="499">
        <v>4968157.8</v>
      </c>
      <c r="H396" s="504">
        <v>4975640.5322794709</v>
      </c>
      <c r="I396" s="504">
        <v>5004836.8351956857</v>
      </c>
      <c r="J396" s="504">
        <v>4991825.9256883562</v>
      </c>
    </row>
    <row r="397" spans="1:10" hidden="1">
      <c r="A397" s="359"/>
      <c r="B397" s="373"/>
      <c r="C397" s="371"/>
      <c r="D397" s="421"/>
      <c r="E397" s="406" t="s">
        <v>1148</v>
      </c>
      <c r="F397" s="407">
        <f>+F398</f>
        <v>2960218.9</v>
      </c>
      <c r="G397" s="506">
        <f>+G398</f>
        <v>2916970</v>
      </c>
      <c r="H397" s="516">
        <f t="shared" ref="H397:J397" si="45">+H398</f>
        <v>3414383</v>
      </c>
      <c r="I397" s="516">
        <f t="shared" si="45"/>
        <v>3473696.7</v>
      </c>
      <c r="J397" s="516">
        <f t="shared" si="45"/>
        <v>3480891.1</v>
      </c>
    </row>
    <row r="398" spans="1:10" s="387" customFormat="1" ht="25.5" hidden="1">
      <c r="A398" s="382"/>
      <c r="B398" s="383"/>
      <c r="C398" s="384"/>
      <c r="D398" s="385">
        <v>4511</v>
      </c>
      <c r="E398" s="385" t="s">
        <v>1151</v>
      </c>
      <c r="F398" s="386">
        <v>2960218.9</v>
      </c>
      <c r="G398" s="499">
        <v>2916970</v>
      </c>
      <c r="H398" s="517">
        <v>3414383</v>
      </c>
      <c r="I398" s="517">
        <v>3473696.7</v>
      </c>
      <c r="J398" s="517">
        <v>3480891.1</v>
      </c>
    </row>
    <row r="399" spans="1:10" hidden="1">
      <c r="A399" s="359"/>
      <c r="B399" s="373"/>
      <c r="C399" s="371"/>
      <c r="D399" s="421"/>
      <c r="E399" s="406" t="s">
        <v>1149</v>
      </c>
      <c r="F399" s="407">
        <f>+F400</f>
        <v>1070182.2</v>
      </c>
      <c r="G399" s="506">
        <f>+G400</f>
        <v>1246066.5</v>
      </c>
      <c r="H399" s="516">
        <f t="shared" ref="H399:J399" si="46">+H400</f>
        <v>1287557.1000000001</v>
      </c>
      <c r="I399" s="516">
        <f t="shared" si="46"/>
        <v>1287762.6000000001</v>
      </c>
      <c r="J399" s="516">
        <f t="shared" si="46"/>
        <v>1279034.1000000001</v>
      </c>
    </row>
    <row r="400" spans="1:10" s="387" customFormat="1" ht="25.5" hidden="1">
      <c r="A400" s="382"/>
      <c r="B400" s="383"/>
      <c r="C400" s="384"/>
      <c r="D400" s="385">
        <v>4511</v>
      </c>
      <c r="E400" s="385" t="s">
        <v>1151</v>
      </c>
      <c r="F400" s="386">
        <v>1070182.2</v>
      </c>
      <c r="G400" s="499">
        <v>1246066.5</v>
      </c>
      <c r="H400" s="519">
        <v>1287557.1000000001</v>
      </c>
      <c r="I400" s="519">
        <v>1287762.6000000001</v>
      </c>
      <c r="J400" s="519">
        <v>1279034.1000000001</v>
      </c>
    </row>
    <row r="401" spans="1:10" hidden="1">
      <c r="A401" s="359"/>
      <c r="B401" s="373"/>
      <c r="C401" s="371"/>
      <c r="D401" s="421"/>
      <c r="E401" s="406" t="s">
        <v>1150</v>
      </c>
      <c r="F401" s="407">
        <f>+F402</f>
        <v>2589216.7000000002</v>
      </c>
      <c r="G401" s="506">
        <f>+G402</f>
        <v>2654961.4</v>
      </c>
      <c r="H401" s="516">
        <f t="shared" ref="H401:J401" si="47">+H402</f>
        <v>3014889.3</v>
      </c>
      <c r="I401" s="516">
        <f t="shared" si="47"/>
        <v>2942241.9</v>
      </c>
      <c r="J401" s="516">
        <f t="shared" si="47"/>
        <v>2899239.8</v>
      </c>
    </row>
    <row r="402" spans="1:10" s="387" customFormat="1" ht="25.5" hidden="1">
      <c r="A402" s="382"/>
      <c r="B402" s="383"/>
      <c r="C402" s="384"/>
      <c r="D402" s="385">
        <v>4511</v>
      </c>
      <c r="E402" s="385" t="s">
        <v>1151</v>
      </c>
      <c r="F402" s="386">
        <v>2589216.7000000002</v>
      </c>
      <c r="G402" s="499">
        <v>2654961.4</v>
      </c>
      <c r="H402" s="504">
        <v>3014889.3</v>
      </c>
      <c r="I402" s="504">
        <v>2942241.9</v>
      </c>
      <c r="J402" s="504">
        <v>2899239.8</v>
      </c>
    </row>
    <row r="403" spans="1:10">
      <c r="A403" s="408"/>
      <c r="B403" s="378">
        <v>1146</v>
      </c>
      <c r="C403" s="371">
        <v>11003</v>
      </c>
      <c r="D403" s="371"/>
      <c r="E403" s="380" t="s">
        <v>532</v>
      </c>
      <c r="F403" s="418">
        <f>SUM(F404,F406,F408,F410,F412,F414,F416,F418,F420,F422,F424,F426)</f>
        <v>18345654.649999999</v>
      </c>
      <c r="G403" s="510">
        <f>SUM(G404,G406,G408,G410,G412,G414,G416,G418,G420,G422,G424,G426)</f>
        <v>21941370.799999997</v>
      </c>
      <c r="H403" s="515">
        <f>SUM(H404,H406,H408,H410,H412,H414,H416,H418,H420,H422,H424,H426)</f>
        <v>23902205.21365409</v>
      </c>
      <c r="I403" s="515">
        <f t="shared" ref="I403:J403" si="48">SUM(I404,I406,I408,I410,I412,I414,I416,I418,I420,I422,I424,I426)</f>
        <v>24659263.443492811</v>
      </c>
      <c r="J403" s="515">
        <f t="shared" si="48"/>
        <v>24910925.370546546</v>
      </c>
    </row>
    <row r="404" spans="1:10" ht="25.5" hidden="1">
      <c r="A404" s="359"/>
      <c r="B404" s="373"/>
      <c r="C404" s="371"/>
      <c r="D404" s="421"/>
      <c r="E404" s="406" t="s">
        <v>1140</v>
      </c>
      <c r="F404" s="407">
        <f>+F405</f>
        <v>251104.80000000002</v>
      </c>
      <c r="G404" s="506">
        <f>+G405</f>
        <v>299492.2</v>
      </c>
      <c r="H404" s="516">
        <f t="shared" ref="H404:J404" si="49">+H405</f>
        <v>322736.75999999995</v>
      </c>
      <c r="I404" s="516">
        <f t="shared" si="49"/>
        <v>334947.95999999996</v>
      </c>
      <c r="J404" s="516">
        <f t="shared" si="49"/>
        <v>334947.9599999999</v>
      </c>
    </row>
    <row r="405" spans="1:10" s="387" customFormat="1" ht="25.5" hidden="1">
      <c r="A405" s="382"/>
      <c r="B405" s="383"/>
      <c r="C405" s="384"/>
      <c r="D405" s="385">
        <v>4511</v>
      </c>
      <c r="E405" s="385" t="s">
        <v>1151</v>
      </c>
      <c r="F405" s="386">
        <v>251104.80000000002</v>
      </c>
      <c r="G405" s="499">
        <v>299492.2</v>
      </c>
      <c r="H405" s="504">
        <v>322736.75999999995</v>
      </c>
      <c r="I405" s="504">
        <v>334947.95999999996</v>
      </c>
      <c r="J405" s="520">
        <v>334947.9599999999</v>
      </c>
    </row>
    <row r="406" spans="1:10" ht="25.5" hidden="1">
      <c r="A406" s="359"/>
      <c r="B406" s="373"/>
      <c r="C406" s="371"/>
      <c r="D406" s="421"/>
      <c r="E406" s="406" t="s">
        <v>1123</v>
      </c>
      <c r="F406" s="407">
        <f>+F407</f>
        <v>9035268.75</v>
      </c>
      <c r="G406" s="506">
        <f>+G407</f>
        <v>9120401.3000000007</v>
      </c>
      <c r="H406" s="506">
        <f t="shared" ref="H406:J406" si="50">+H407</f>
        <v>10556888.121221757</v>
      </c>
      <c r="I406" s="506">
        <f t="shared" si="50"/>
        <v>10660160.924690001</v>
      </c>
      <c r="J406" s="506">
        <f t="shared" si="50"/>
        <v>10637075.793588677</v>
      </c>
    </row>
    <row r="407" spans="1:10" s="387" customFormat="1" ht="25.5" hidden="1">
      <c r="A407" s="382"/>
      <c r="B407" s="383"/>
      <c r="C407" s="384"/>
      <c r="D407" s="385">
        <v>4511</v>
      </c>
      <c r="E407" s="385" t="s">
        <v>1151</v>
      </c>
      <c r="F407" s="386">
        <v>9035268.75</v>
      </c>
      <c r="G407" s="499">
        <v>9120401.3000000007</v>
      </c>
      <c r="H407" s="504">
        <f>[1]ԿԳՄՍՆ!$L$127</f>
        <v>10556888.121221757</v>
      </c>
      <c r="I407" s="504">
        <f>[2]ԿԳՄՍՆ!$L$127</f>
        <v>10660160.924690001</v>
      </c>
      <c r="J407" s="505">
        <f>[3]ԿԳՄՍՆ!$L$127</f>
        <v>10637075.793588677</v>
      </c>
    </row>
    <row r="408" spans="1:10" hidden="1">
      <c r="A408" s="359"/>
      <c r="B408" s="373"/>
      <c r="C408" s="371"/>
      <c r="D408" s="421"/>
      <c r="E408" s="406" t="s">
        <v>1141</v>
      </c>
      <c r="F408" s="407">
        <f>+F409</f>
        <v>1016239.5</v>
      </c>
      <c r="G408" s="506">
        <f>+G409</f>
        <v>1319780.7</v>
      </c>
      <c r="H408" s="516">
        <f t="shared" ref="H408:J408" si="51">+H409</f>
        <v>1296256.1000000001</v>
      </c>
      <c r="I408" s="516">
        <f t="shared" si="51"/>
        <v>1315997.8</v>
      </c>
      <c r="J408" s="516">
        <f t="shared" si="51"/>
        <v>1315995.5</v>
      </c>
    </row>
    <row r="409" spans="1:10" s="387" customFormat="1" ht="25.5" hidden="1">
      <c r="A409" s="382"/>
      <c r="B409" s="383"/>
      <c r="C409" s="384"/>
      <c r="D409" s="385">
        <v>4511</v>
      </c>
      <c r="E409" s="385" t="s">
        <v>1151</v>
      </c>
      <c r="F409" s="386">
        <v>1016239.5</v>
      </c>
      <c r="G409" s="499">
        <v>1319780.7</v>
      </c>
      <c r="H409" s="504">
        <v>1296256.1000000001</v>
      </c>
      <c r="I409" s="504">
        <v>1315997.8</v>
      </c>
      <c r="J409" s="505">
        <v>1315995.5</v>
      </c>
    </row>
    <row r="410" spans="1:10" hidden="1">
      <c r="A410" s="359"/>
      <c r="B410" s="373"/>
      <c r="C410" s="371"/>
      <c r="D410" s="421"/>
      <c r="E410" s="406" t="s">
        <v>1142</v>
      </c>
      <c r="F410" s="407">
        <f>+F411</f>
        <v>1098587.8999999999</v>
      </c>
      <c r="G410" s="506">
        <f>+G411</f>
        <v>1562553.6</v>
      </c>
      <c r="H410" s="516">
        <f t="shared" ref="H410:J410" si="52">+H411</f>
        <v>1799616.3969986674</v>
      </c>
      <c r="I410" s="516">
        <f t="shared" si="52"/>
        <v>1895457.9973409215</v>
      </c>
      <c r="J410" s="516">
        <f t="shared" si="52"/>
        <v>1943359.0338095226</v>
      </c>
    </row>
    <row r="411" spans="1:10" s="387" customFormat="1" ht="25.5" hidden="1">
      <c r="A411" s="382"/>
      <c r="B411" s="383"/>
      <c r="C411" s="384"/>
      <c r="D411" s="385">
        <v>4511</v>
      </c>
      <c r="E411" s="385" t="s">
        <v>1151</v>
      </c>
      <c r="F411" s="386">
        <v>1098587.8999999999</v>
      </c>
      <c r="G411" s="499">
        <v>1562553.6</v>
      </c>
      <c r="H411" s="504">
        <v>1799616.3969986674</v>
      </c>
      <c r="I411" s="504">
        <v>1895457.9973409215</v>
      </c>
      <c r="J411" s="504">
        <v>1943359.0338095226</v>
      </c>
    </row>
    <row r="412" spans="1:10" hidden="1">
      <c r="A412" s="359"/>
      <c r="B412" s="373"/>
      <c r="C412" s="371"/>
      <c r="D412" s="421"/>
      <c r="E412" s="406" t="s">
        <v>1143</v>
      </c>
      <c r="F412" s="407">
        <f>+F413</f>
        <v>1119383.3</v>
      </c>
      <c r="G412" s="506">
        <f>+G413</f>
        <v>1550078.8</v>
      </c>
      <c r="H412" s="516">
        <f t="shared" ref="H412:J412" si="53">+H413</f>
        <v>1782116.6</v>
      </c>
      <c r="I412" s="516">
        <f t="shared" si="53"/>
        <v>1867300.5</v>
      </c>
      <c r="J412" s="516">
        <f t="shared" si="53"/>
        <v>1963570.4</v>
      </c>
    </row>
    <row r="413" spans="1:10" s="387" customFormat="1" ht="25.5" hidden="1">
      <c r="A413" s="382"/>
      <c r="B413" s="383"/>
      <c r="C413" s="384"/>
      <c r="D413" s="385">
        <v>4511</v>
      </c>
      <c r="E413" s="385" t="s">
        <v>1151</v>
      </c>
      <c r="F413" s="386">
        <v>1119383.3</v>
      </c>
      <c r="G413" s="499">
        <v>1550078.8</v>
      </c>
      <c r="H413" s="504">
        <v>1782116.6</v>
      </c>
      <c r="I413" s="504">
        <v>1867300.5</v>
      </c>
      <c r="J413" s="504">
        <v>1963570.4</v>
      </c>
    </row>
    <row r="414" spans="1:10" hidden="1">
      <c r="A414" s="359"/>
      <c r="B414" s="373"/>
      <c r="C414" s="371"/>
      <c r="D414" s="421"/>
      <c r="E414" s="406" t="s">
        <v>1144</v>
      </c>
      <c r="F414" s="407">
        <f>+F415</f>
        <v>1281495.2</v>
      </c>
      <c r="G414" s="506">
        <f>+G415</f>
        <v>1619457.1</v>
      </c>
      <c r="H414" s="516">
        <f t="shared" ref="H414:J414" si="54">+H415</f>
        <v>1765030.4</v>
      </c>
      <c r="I414" s="516">
        <f t="shared" si="54"/>
        <v>1908420.5</v>
      </c>
      <c r="J414" s="516">
        <f t="shared" si="54"/>
        <v>1955177.4</v>
      </c>
    </row>
    <row r="415" spans="1:10" s="387" customFormat="1" ht="25.5" hidden="1">
      <c r="A415" s="382"/>
      <c r="B415" s="383"/>
      <c r="C415" s="384"/>
      <c r="D415" s="385">
        <v>4511</v>
      </c>
      <c r="E415" s="385" t="s">
        <v>1151</v>
      </c>
      <c r="F415" s="386">
        <v>1281495.2</v>
      </c>
      <c r="G415" s="499">
        <v>1619457.1</v>
      </c>
      <c r="H415" s="504">
        <v>1765030.4</v>
      </c>
      <c r="I415" s="504">
        <v>1908420.5</v>
      </c>
      <c r="J415" s="504">
        <v>1955177.4</v>
      </c>
    </row>
    <row r="416" spans="1:10" hidden="1">
      <c r="A416" s="359"/>
      <c r="B416" s="373"/>
      <c r="C416" s="371"/>
      <c r="D416" s="421"/>
      <c r="E416" s="406" t="s">
        <v>1145</v>
      </c>
      <c r="F416" s="407">
        <f>+F417</f>
        <v>804568.6</v>
      </c>
      <c r="G416" s="506">
        <f>+G417</f>
        <v>1330552.1000000001</v>
      </c>
      <c r="H416" s="516">
        <f t="shared" ref="H416:J416" si="55">+H417</f>
        <v>1494513.6</v>
      </c>
      <c r="I416" s="516">
        <f t="shared" si="55"/>
        <v>1503372.6</v>
      </c>
      <c r="J416" s="516">
        <f t="shared" si="55"/>
        <v>1520016.1</v>
      </c>
    </row>
    <row r="417" spans="1:10" s="387" customFormat="1" ht="25.5" hidden="1">
      <c r="A417" s="382"/>
      <c r="B417" s="383"/>
      <c r="C417" s="384"/>
      <c r="D417" s="385">
        <v>4511</v>
      </c>
      <c r="E417" s="385" t="s">
        <v>1151</v>
      </c>
      <c r="F417" s="386">
        <v>804568.6</v>
      </c>
      <c r="G417" s="499">
        <v>1330552.1000000001</v>
      </c>
      <c r="H417" s="504">
        <v>1494513.6</v>
      </c>
      <c r="I417" s="504">
        <v>1503372.6</v>
      </c>
      <c r="J417" s="504">
        <v>1520016.1</v>
      </c>
    </row>
    <row r="418" spans="1:10" hidden="1">
      <c r="A418" s="359"/>
      <c r="B418" s="373"/>
      <c r="C418" s="371"/>
      <c r="D418" s="421"/>
      <c r="E418" s="406" t="s">
        <v>1146</v>
      </c>
      <c r="F418" s="407">
        <f>+F419</f>
        <v>733678.70000000007</v>
      </c>
      <c r="G418" s="506">
        <f>+G419</f>
        <v>986791.7</v>
      </c>
      <c r="H418" s="516">
        <f t="shared" ref="H418:J418" si="56">+H419</f>
        <v>973919.4</v>
      </c>
      <c r="I418" s="516">
        <f t="shared" si="56"/>
        <v>973919.4</v>
      </c>
      <c r="J418" s="516">
        <f t="shared" si="56"/>
        <v>973919.4</v>
      </c>
    </row>
    <row r="419" spans="1:10" s="387" customFormat="1" ht="25.5" hidden="1">
      <c r="A419" s="382"/>
      <c r="B419" s="383"/>
      <c r="C419" s="384"/>
      <c r="D419" s="385">
        <v>4511</v>
      </c>
      <c r="E419" s="385" t="s">
        <v>1151</v>
      </c>
      <c r="F419" s="386">
        <v>733678.70000000007</v>
      </c>
      <c r="G419" s="499">
        <v>986791.7</v>
      </c>
      <c r="H419" s="504">
        <v>973919.4</v>
      </c>
      <c r="I419" s="504">
        <v>973919.4</v>
      </c>
      <c r="J419" s="504">
        <v>973919.4</v>
      </c>
    </row>
    <row r="420" spans="1:10" hidden="1">
      <c r="A420" s="359"/>
      <c r="B420" s="373"/>
      <c r="C420" s="371"/>
      <c r="D420" s="421"/>
      <c r="E420" s="406" t="s">
        <v>1147</v>
      </c>
      <c r="F420" s="407">
        <f>+F421</f>
        <v>933786</v>
      </c>
      <c r="G420" s="506">
        <f>+G421</f>
        <v>1674032.2</v>
      </c>
      <c r="H420" s="516">
        <f t="shared" ref="H420:J420" si="57">+H421</f>
        <v>1235572.1354336645</v>
      </c>
      <c r="I420" s="516">
        <f t="shared" si="57"/>
        <v>1376464.5614618864</v>
      </c>
      <c r="J420" s="516">
        <f t="shared" si="57"/>
        <v>1435582.5831483472</v>
      </c>
    </row>
    <row r="421" spans="1:10" s="387" customFormat="1" ht="25.5" hidden="1">
      <c r="A421" s="382"/>
      <c r="B421" s="383"/>
      <c r="C421" s="384"/>
      <c r="D421" s="385">
        <v>4511</v>
      </c>
      <c r="E421" s="385" t="s">
        <v>1151</v>
      </c>
      <c r="F421" s="386">
        <v>933786</v>
      </c>
      <c r="G421" s="499">
        <v>1674032.2</v>
      </c>
      <c r="H421" s="504">
        <v>1235572.1354336645</v>
      </c>
      <c r="I421" s="504">
        <v>1376464.5614618864</v>
      </c>
      <c r="J421" s="504">
        <v>1435582.5831483472</v>
      </c>
    </row>
    <row r="422" spans="1:10" hidden="1">
      <c r="A422" s="359"/>
      <c r="B422" s="373"/>
      <c r="C422" s="371"/>
      <c r="D422" s="421"/>
      <c r="E422" s="406" t="s">
        <v>1148</v>
      </c>
      <c r="F422" s="407">
        <f>+F423</f>
        <v>993025.4</v>
      </c>
      <c r="G422" s="506">
        <f>+G423</f>
        <v>1006352.2</v>
      </c>
      <c r="H422" s="516">
        <f t="shared" ref="H422:J422" si="58">+H423</f>
        <v>1177659.8</v>
      </c>
      <c r="I422" s="516">
        <f t="shared" si="58"/>
        <v>1233552.3999999999</v>
      </c>
      <c r="J422" s="516">
        <f t="shared" si="58"/>
        <v>1200567.7</v>
      </c>
    </row>
    <row r="423" spans="1:10" s="387" customFormat="1" ht="25.5" hidden="1">
      <c r="A423" s="382"/>
      <c r="B423" s="383"/>
      <c r="C423" s="384"/>
      <c r="D423" s="385">
        <v>4511</v>
      </c>
      <c r="E423" s="385" t="s">
        <v>1151</v>
      </c>
      <c r="F423" s="386">
        <v>993025.4</v>
      </c>
      <c r="G423" s="499">
        <v>1006352.2</v>
      </c>
      <c r="H423" s="504">
        <v>1177659.8</v>
      </c>
      <c r="I423" s="504">
        <v>1233552.3999999999</v>
      </c>
      <c r="J423" s="504">
        <v>1200567.7</v>
      </c>
    </row>
    <row r="424" spans="1:10" hidden="1">
      <c r="A424" s="359"/>
      <c r="B424" s="373"/>
      <c r="C424" s="371"/>
      <c r="D424" s="421"/>
      <c r="E424" s="406" t="s">
        <v>1149</v>
      </c>
      <c r="F424" s="407">
        <f>+F425</f>
        <v>341438.10000000003</v>
      </c>
      <c r="G424" s="506">
        <f>+G425</f>
        <v>484070.2</v>
      </c>
      <c r="H424" s="516">
        <f t="shared" ref="H424:J424" si="59">+H425</f>
        <v>495062</v>
      </c>
      <c r="I424" s="516">
        <f t="shared" si="59"/>
        <v>506211.5</v>
      </c>
      <c r="J424" s="516">
        <f t="shared" si="59"/>
        <v>513305.1</v>
      </c>
    </row>
    <row r="425" spans="1:10" s="387" customFormat="1" ht="25.5" hidden="1">
      <c r="A425" s="382"/>
      <c r="B425" s="383"/>
      <c r="C425" s="384"/>
      <c r="D425" s="385">
        <v>4511</v>
      </c>
      <c r="E425" s="385" t="s">
        <v>1151</v>
      </c>
      <c r="F425" s="386">
        <v>341438.10000000003</v>
      </c>
      <c r="G425" s="499">
        <v>484070.2</v>
      </c>
      <c r="H425" s="504">
        <v>495062</v>
      </c>
      <c r="I425" s="504">
        <v>506211.5</v>
      </c>
      <c r="J425" s="504">
        <v>513305.1</v>
      </c>
    </row>
    <row r="426" spans="1:10" hidden="1">
      <c r="A426" s="359"/>
      <c r="B426" s="373"/>
      <c r="C426" s="371"/>
      <c r="D426" s="421"/>
      <c r="E426" s="406" t="s">
        <v>1150</v>
      </c>
      <c r="F426" s="407">
        <f>+F427</f>
        <v>737078.4</v>
      </c>
      <c r="G426" s="506">
        <f>+G427</f>
        <v>987808.7</v>
      </c>
      <c r="H426" s="516">
        <f t="shared" ref="H426:J426" si="60">+H427</f>
        <v>1002833.9</v>
      </c>
      <c r="I426" s="516">
        <f t="shared" si="60"/>
        <v>1083457.3</v>
      </c>
      <c r="J426" s="516">
        <f t="shared" si="60"/>
        <v>1117408.3999999999</v>
      </c>
    </row>
    <row r="427" spans="1:10" s="387" customFormat="1" ht="25.5" hidden="1">
      <c r="A427" s="382"/>
      <c r="B427" s="383"/>
      <c r="C427" s="384"/>
      <c r="D427" s="385">
        <v>4511</v>
      </c>
      <c r="E427" s="385" t="s">
        <v>1151</v>
      </c>
      <c r="F427" s="386">
        <v>737078.4</v>
      </c>
      <c r="G427" s="499">
        <v>987808.7</v>
      </c>
      <c r="H427" s="504">
        <v>1002833.9</v>
      </c>
      <c r="I427" s="504">
        <v>1083457.3</v>
      </c>
      <c r="J427" s="504">
        <v>1117408.3999999999</v>
      </c>
    </row>
    <row r="428" spans="1:10">
      <c r="A428" s="408"/>
      <c r="B428" s="378">
        <v>1146</v>
      </c>
      <c r="C428" s="371">
        <v>11004</v>
      </c>
      <c r="D428" s="371"/>
      <c r="E428" s="380" t="s">
        <v>533</v>
      </c>
      <c r="F428" s="418">
        <f>+F429</f>
        <v>327358</v>
      </c>
      <c r="G428" s="510">
        <f>+G429</f>
        <v>370307.9</v>
      </c>
      <c r="H428" s="515">
        <f t="shared" ref="H428:J428" si="61">+H429</f>
        <v>361350.08470280835</v>
      </c>
      <c r="I428" s="515">
        <f t="shared" si="61"/>
        <v>361350.08470280835</v>
      </c>
      <c r="J428" s="515">
        <f t="shared" si="61"/>
        <v>361350.08470280835</v>
      </c>
    </row>
    <row r="429" spans="1:10" s="387" customFormat="1" ht="25.5">
      <c r="A429" s="395"/>
      <c r="B429" s="396"/>
      <c r="C429" s="385"/>
      <c r="D429" s="385">
        <v>4511</v>
      </c>
      <c r="E429" s="385" t="s">
        <v>1151</v>
      </c>
      <c r="F429" s="389">
        <v>327358</v>
      </c>
      <c r="G429" s="501">
        <v>370307.9</v>
      </c>
      <c r="H429" s="501">
        <v>361350.08470280835</v>
      </c>
      <c r="I429" s="501">
        <v>361350.08470280835</v>
      </c>
      <c r="J429" s="501">
        <v>361350.08470280835</v>
      </c>
    </row>
    <row r="430" spans="1:10">
      <c r="A430" s="408"/>
      <c r="B430" s="373">
        <v>1146</v>
      </c>
      <c r="C430" s="421">
        <v>11005</v>
      </c>
      <c r="D430" s="421"/>
      <c r="E430" s="393" t="s">
        <v>534</v>
      </c>
      <c r="F430" s="419">
        <f>+F431</f>
        <v>535491.80000000005</v>
      </c>
      <c r="G430" s="509">
        <f>+G431</f>
        <v>503618.8</v>
      </c>
      <c r="H430" s="522">
        <f t="shared" ref="H430:J430" si="62">+H431</f>
        <v>557081.38058349618</v>
      </c>
      <c r="I430" s="522">
        <f t="shared" si="62"/>
        <v>557081.38058349618</v>
      </c>
      <c r="J430" s="522">
        <f t="shared" si="62"/>
        <v>557081.38058349618</v>
      </c>
    </row>
    <row r="431" spans="1:10" s="387" customFormat="1" ht="25.5">
      <c r="A431" s="395"/>
      <c r="B431" s="396"/>
      <c r="C431" s="385"/>
      <c r="D431" s="385">
        <v>4511</v>
      </c>
      <c r="E431" s="385" t="s">
        <v>1151</v>
      </c>
      <c r="F431" s="389">
        <v>535491.80000000005</v>
      </c>
      <c r="G431" s="501">
        <v>503618.8</v>
      </c>
      <c r="H431" s="501">
        <v>557081.38058349618</v>
      </c>
      <c r="I431" s="501">
        <v>557081.38058349618</v>
      </c>
      <c r="J431" s="501">
        <v>557081.38058349618</v>
      </c>
    </row>
    <row r="432" spans="1:10">
      <c r="A432" s="408"/>
      <c r="B432" s="373">
        <v>1146</v>
      </c>
      <c r="C432" s="421">
        <v>11006</v>
      </c>
      <c r="D432" s="421"/>
      <c r="E432" s="393" t="s">
        <v>535</v>
      </c>
      <c r="F432" s="419">
        <f>+F433</f>
        <v>359896</v>
      </c>
      <c r="G432" s="509">
        <f>+G433</f>
        <v>355495.6</v>
      </c>
      <c r="H432" s="522">
        <f t="shared" ref="H432:J432" si="63">+H433</f>
        <v>331237.57764424098</v>
      </c>
      <c r="I432" s="522">
        <f t="shared" si="63"/>
        <v>331237.57764424098</v>
      </c>
      <c r="J432" s="522">
        <f t="shared" si="63"/>
        <v>331237.57764424098</v>
      </c>
    </row>
    <row r="433" spans="1:10" s="387" customFormat="1" ht="25.5">
      <c r="A433" s="395"/>
      <c r="B433" s="396"/>
      <c r="C433" s="385"/>
      <c r="D433" s="385">
        <v>4511</v>
      </c>
      <c r="E433" s="385" t="s">
        <v>1151</v>
      </c>
      <c r="F433" s="389">
        <v>359896</v>
      </c>
      <c r="G433" s="501">
        <v>355495.6</v>
      </c>
      <c r="H433" s="501">
        <v>331237.57764424098</v>
      </c>
      <c r="I433" s="501">
        <v>331237.57764424098</v>
      </c>
      <c r="J433" s="501">
        <v>331237.57764424098</v>
      </c>
    </row>
    <row r="434" spans="1:10">
      <c r="A434" s="408"/>
      <c r="B434" s="373">
        <v>1146</v>
      </c>
      <c r="C434" s="421">
        <v>11010</v>
      </c>
      <c r="D434" s="421"/>
      <c r="E434" s="393" t="s">
        <v>536</v>
      </c>
      <c r="F434" s="419">
        <f>+F435</f>
        <v>228319.7</v>
      </c>
      <c r="G434" s="509">
        <f>+G435</f>
        <v>216037</v>
      </c>
      <c r="H434" s="563">
        <f t="shared" ref="H434:J434" si="64">+H435</f>
        <v>218744.98167219537</v>
      </c>
      <c r="I434" s="563">
        <f t="shared" si="64"/>
        <v>218881.76579781517</v>
      </c>
      <c r="J434" s="563">
        <f t="shared" si="64"/>
        <v>218744.98167219537</v>
      </c>
    </row>
    <row r="435" spans="1:10" s="387" customFormat="1" ht="25.5">
      <c r="A435" s="395"/>
      <c r="B435" s="396"/>
      <c r="C435" s="385"/>
      <c r="D435" s="385">
        <v>4511</v>
      </c>
      <c r="E435" s="385" t="s">
        <v>1151</v>
      </c>
      <c r="F435" s="389">
        <v>228319.7</v>
      </c>
      <c r="G435" s="501">
        <v>216037</v>
      </c>
      <c r="H435" s="501">
        <v>218744.98167219537</v>
      </c>
      <c r="I435" s="501">
        <v>218881.76579781517</v>
      </c>
      <c r="J435" s="501">
        <v>218744.98167219537</v>
      </c>
    </row>
    <row r="436" spans="1:10">
      <c r="A436" s="408"/>
      <c r="B436" s="373">
        <v>1146</v>
      </c>
      <c r="C436" s="421">
        <v>11011</v>
      </c>
      <c r="D436" s="421"/>
      <c r="E436" s="393" t="s">
        <v>537</v>
      </c>
      <c r="F436" s="419">
        <f>+F437</f>
        <v>1655329.9</v>
      </c>
      <c r="G436" s="509">
        <f>+G437</f>
        <v>1670686.8</v>
      </c>
      <c r="H436" s="563">
        <f t="shared" ref="H436:J436" si="65">+H437</f>
        <v>1537291.1211962618</v>
      </c>
      <c r="I436" s="563">
        <f t="shared" si="65"/>
        <v>1538252.4096346453</v>
      </c>
      <c r="J436" s="563">
        <f t="shared" si="65"/>
        <v>1537291.1211962618</v>
      </c>
    </row>
    <row r="437" spans="1:10" s="387" customFormat="1" ht="25.5">
      <c r="A437" s="395"/>
      <c r="B437" s="396"/>
      <c r="C437" s="385"/>
      <c r="D437" s="385">
        <v>4511</v>
      </c>
      <c r="E437" s="385" t="s">
        <v>1151</v>
      </c>
      <c r="F437" s="389">
        <v>1655329.9</v>
      </c>
      <c r="G437" s="501">
        <v>1670686.8</v>
      </c>
      <c r="H437" s="501">
        <v>1537291.1211962618</v>
      </c>
      <c r="I437" s="501">
        <v>1538252.4096346453</v>
      </c>
      <c r="J437" s="501">
        <v>1537291.1211962618</v>
      </c>
    </row>
    <row r="438" spans="1:10">
      <c r="A438" s="408"/>
      <c r="B438" s="373">
        <v>1146</v>
      </c>
      <c r="C438" s="421">
        <v>11012</v>
      </c>
      <c r="D438" s="421"/>
      <c r="E438" s="393" t="s">
        <v>538</v>
      </c>
      <c r="F438" s="419">
        <f>+F439+F441</f>
        <v>1746005.52</v>
      </c>
      <c r="G438" s="509">
        <f>+G439+G441</f>
        <v>2149726.5</v>
      </c>
      <c r="H438" s="563">
        <f t="shared" ref="H438:I438" si="66">+H439+H441</f>
        <v>2044373.6507243915</v>
      </c>
      <c r="I438" s="563">
        <f t="shared" si="66"/>
        <v>2045114.5647381654</v>
      </c>
      <c r="J438" s="563">
        <f>+J439+J441</f>
        <v>2044373.6507243915</v>
      </c>
    </row>
    <row r="439" spans="1:10" ht="25.5">
      <c r="A439" s="408"/>
      <c r="B439" s="373"/>
      <c r="C439" s="421"/>
      <c r="D439" s="421"/>
      <c r="E439" s="428" t="s">
        <v>1123</v>
      </c>
      <c r="F439" s="545">
        <f>+F440</f>
        <v>1101773.52</v>
      </c>
      <c r="G439" s="507">
        <f>+G440</f>
        <v>1290221.5</v>
      </c>
      <c r="H439" s="563">
        <v>1184868.6507243915</v>
      </c>
      <c r="I439" s="563">
        <f t="shared" ref="I439:J439" si="67">+I440</f>
        <v>1185609.5647381654</v>
      </c>
      <c r="J439" s="563">
        <f t="shared" si="67"/>
        <v>1184868.6507243915</v>
      </c>
    </row>
    <row r="440" spans="1:10" s="387" customFormat="1" ht="25.5">
      <c r="A440" s="395"/>
      <c r="B440" s="396"/>
      <c r="C440" s="385"/>
      <c r="D440" s="385">
        <v>4511</v>
      </c>
      <c r="E440" s="385" t="s">
        <v>1151</v>
      </c>
      <c r="F440" s="389">
        <f>1101773.52</f>
        <v>1101773.52</v>
      </c>
      <c r="G440" s="501">
        <v>1290221.5</v>
      </c>
      <c r="H440" s="501">
        <v>1184868.6507243915</v>
      </c>
      <c r="I440" s="501">
        <v>1185609.5647381654</v>
      </c>
      <c r="J440" s="501">
        <v>1184868.6507243915</v>
      </c>
    </row>
    <row r="441" spans="1:10">
      <c r="A441" s="408"/>
      <c r="B441" s="373"/>
      <c r="C441" s="421"/>
      <c r="D441" s="421"/>
      <c r="E441" s="428" t="s">
        <v>1152</v>
      </c>
      <c r="F441" s="545">
        <f>+F442</f>
        <v>644232</v>
      </c>
      <c r="G441" s="507">
        <f>+G442</f>
        <v>859505</v>
      </c>
      <c r="H441" s="563">
        <f t="shared" ref="H441:J441" si="68">+H442</f>
        <v>859505</v>
      </c>
      <c r="I441" s="563">
        <f t="shared" si="68"/>
        <v>859505</v>
      </c>
      <c r="J441" s="563">
        <f t="shared" si="68"/>
        <v>859505</v>
      </c>
    </row>
    <row r="442" spans="1:10" s="387" customFormat="1" ht="25.5">
      <c r="A442" s="395"/>
      <c r="B442" s="396"/>
      <c r="C442" s="385"/>
      <c r="D442" s="385">
        <v>4511</v>
      </c>
      <c r="E442" s="385" t="s">
        <v>1151</v>
      </c>
      <c r="F442" s="389">
        <v>644232</v>
      </c>
      <c r="G442" s="501">
        <v>859505</v>
      </c>
      <c r="H442" s="501">
        <v>859505</v>
      </c>
      <c r="I442" s="501">
        <v>859505</v>
      </c>
      <c r="J442" s="501">
        <v>859505</v>
      </c>
    </row>
    <row r="443" spans="1:10" s="394" customFormat="1" outlineLevel="1">
      <c r="A443" s="408"/>
      <c r="B443" s="373">
        <v>1146</v>
      </c>
      <c r="C443" s="421">
        <v>11013</v>
      </c>
      <c r="D443" s="421"/>
      <c r="E443" s="393" t="s">
        <v>539</v>
      </c>
      <c r="F443" s="419">
        <v>786428.6</v>
      </c>
      <c r="G443" s="509">
        <v>0</v>
      </c>
      <c r="H443" s="500">
        <v>0</v>
      </c>
      <c r="I443" s="500">
        <v>0</v>
      </c>
      <c r="J443" s="500">
        <v>0</v>
      </c>
    </row>
    <row r="444" spans="1:10" ht="25.5">
      <c r="A444" s="408"/>
      <c r="B444" s="373">
        <v>1146</v>
      </c>
      <c r="C444" s="421">
        <v>11014</v>
      </c>
      <c r="D444" s="421"/>
      <c r="E444" s="393" t="s">
        <v>540</v>
      </c>
      <c r="F444" s="419">
        <f>+F445</f>
        <v>126383.6</v>
      </c>
      <c r="G444" s="509">
        <f>+G445</f>
        <v>126383.6</v>
      </c>
      <c r="H444" s="509">
        <f>+H445</f>
        <v>139021.96000000002</v>
      </c>
      <c r="I444" s="509">
        <f>+I445</f>
        <v>152924.15600000002</v>
      </c>
      <c r="J444" s="509">
        <f>+J445</f>
        <v>168216.57160000002</v>
      </c>
    </row>
    <row r="445" spans="1:10" s="387" customFormat="1" ht="38.25">
      <c r="A445" s="395"/>
      <c r="B445" s="383"/>
      <c r="C445" s="384"/>
      <c r="D445" s="385">
        <v>4637</v>
      </c>
      <c r="E445" s="385" t="s">
        <v>1121</v>
      </c>
      <c r="F445" s="386">
        <v>126383.6</v>
      </c>
      <c r="G445" s="499">
        <v>126383.6</v>
      </c>
      <c r="H445" s="521">
        <v>139021.96000000002</v>
      </c>
      <c r="I445" s="521">
        <v>152924.15600000002</v>
      </c>
      <c r="J445" s="521">
        <v>168216.57160000002</v>
      </c>
    </row>
    <row r="446" spans="1:10">
      <c r="A446" s="408"/>
      <c r="B446" s="378">
        <v>1146</v>
      </c>
      <c r="C446" s="371">
        <v>11015</v>
      </c>
      <c r="D446" s="371"/>
      <c r="E446" s="380" t="s">
        <v>542</v>
      </c>
      <c r="F446" s="418">
        <f>+F447</f>
        <v>56000</v>
      </c>
      <c r="G446" s="510">
        <f>+G447</f>
        <v>58000</v>
      </c>
      <c r="H446" s="509">
        <f>+H447</f>
        <v>78790</v>
      </c>
      <c r="I446" s="509">
        <f>+I447</f>
        <v>78790</v>
      </c>
      <c r="J446" s="509">
        <f>+J447</f>
        <v>78790</v>
      </c>
    </row>
    <row r="447" spans="1:10" s="387" customFormat="1" ht="38.25">
      <c r="A447" s="395"/>
      <c r="B447" s="383"/>
      <c r="C447" s="384"/>
      <c r="D447" s="385">
        <v>4637</v>
      </c>
      <c r="E447" s="385" t="s">
        <v>1121</v>
      </c>
      <c r="F447" s="386">
        <v>56000</v>
      </c>
      <c r="G447" s="499">
        <v>58000</v>
      </c>
      <c r="H447" s="501">
        <f>58000+20790</f>
        <v>78790</v>
      </c>
      <c r="I447" s="501">
        <f>+H447</f>
        <v>78790</v>
      </c>
      <c r="J447" s="501">
        <f>+H447</f>
        <v>78790</v>
      </c>
    </row>
    <row r="448" spans="1:10" ht="38.25">
      <c r="A448" s="408"/>
      <c r="B448" s="378">
        <v>1146</v>
      </c>
      <c r="C448" s="371">
        <v>11016</v>
      </c>
      <c r="D448" s="371"/>
      <c r="E448" s="380" t="s">
        <v>544</v>
      </c>
      <c r="F448" s="418">
        <f>SUM(F449:F451)</f>
        <v>1168154.96</v>
      </c>
      <c r="G448" s="510">
        <f>SUM(G449:G451)</f>
        <v>2310334.7999999998</v>
      </c>
      <c r="H448" s="510">
        <f>SUM(H449:H451)</f>
        <v>1943082.9000000001</v>
      </c>
      <c r="I448" s="510">
        <f>SUM(I449:I451)</f>
        <v>646533.17800000007</v>
      </c>
      <c r="J448" s="510">
        <f>SUM(J449:J451)</f>
        <v>827308.97900000005</v>
      </c>
    </row>
    <row r="449" spans="1:10" s="387" customFormat="1">
      <c r="A449" s="395"/>
      <c r="B449" s="383"/>
      <c r="C449" s="384"/>
      <c r="D449" s="385">
        <v>4200</v>
      </c>
      <c r="E449" s="385" t="s">
        <v>1137</v>
      </c>
      <c r="F449" s="398">
        <v>724856.57</v>
      </c>
      <c r="G449" s="499">
        <v>1116297.2</v>
      </c>
      <c r="H449" s="501">
        <v>700980.1</v>
      </c>
      <c r="I449" s="501">
        <v>233241.13</v>
      </c>
      <c r="J449" s="501">
        <v>298457.19900000002</v>
      </c>
    </row>
    <row r="450" spans="1:10" s="387" customFormat="1">
      <c r="A450" s="395"/>
      <c r="B450" s="383"/>
      <c r="C450" s="384"/>
      <c r="D450" s="385">
        <v>4639</v>
      </c>
      <c r="E450" s="385" t="s">
        <v>1119</v>
      </c>
      <c r="F450" s="398">
        <v>340542.88</v>
      </c>
      <c r="G450" s="499">
        <v>923000</v>
      </c>
      <c r="H450" s="501">
        <v>949000</v>
      </c>
      <c r="I450" s="501">
        <v>315766.25099999999</v>
      </c>
      <c r="J450" s="501">
        <v>404056.99699999997</v>
      </c>
    </row>
    <row r="451" spans="1:10" s="387" customFormat="1">
      <c r="A451" s="395"/>
      <c r="B451" s="383"/>
      <c r="C451" s="384"/>
      <c r="D451" s="385">
        <v>4729</v>
      </c>
      <c r="E451" s="385" t="s">
        <v>1125</v>
      </c>
      <c r="F451" s="398">
        <v>102755.51</v>
      </c>
      <c r="G451" s="499">
        <v>271037.59999999998</v>
      </c>
      <c r="H451" s="501">
        <v>293102.8</v>
      </c>
      <c r="I451" s="501">
        <v>97525.797000000006</v>
      </c>
      <c r="J451" s="501">
        <v>124794.783</v>
      </c>
    </row>
    <row r="452" spans="1:10" ht="25.5">
      <c r="A452" s="408"/>
      <c r="B452" s="378">
        <v>1146</v>
      </c>
      <c r="C452" s="371">
        <v>11017</v>
      </c>
      <c r="D452" s="371"/>
      <c r="E452" s="380" t="s">
        <v>546</v>
      </c>
      <c r="F452" s="418">
        <f>+F453+F455</f>
        <v>31905.760000000002</v>
      </c>
      <c r="G452" s="510">
        <f>+G453+G455</f>
        <v>23866.400000000001</v>
      </c>
      <c r="H452" s="509">
        <f>SUM(H453:H455)</f>
        <v>22446.36</v>
      </c>
      <c r="I452" s="509">
        <f t="shared" ref="I452:J452" si="69">SUM(I453:I455)</f>
        <v>22446.36</v>
      </c>
      <c r="J452" s="509">
        <f t="shared" si="69"/>
        <v>22446.36</v>
      </c>
    </row>
    <row r="453" spans="1:10" s="387" customFormat="1">
      <c r="A453" s="395"/>
      <c r="B453" s="383"/>
      <c r="C453" s="384"/>
      <c r="D453" s="385">
        <v>4239</v>
      </c>
      <c r="E453" s="385" t="s">
        <v>1203</v>
      </c>
      <c r="F453" s="386">
        <v>31905.760000000002</v>
      </c>
      <c r="G453" s="499">
        <v>23866.400000000001</v>
      </c>
      <c r="H453" s="501">
        <v>15389</v>
      </c>
      <c r="I453" s="501">
        <v>15389</v>
      </c>
      <c r="J453" s="501">
        <v>15389</v>
      </c>
    </row>
    <row r="454" spans="1:10" s="387" customFormat="1">
      <c r="A454" s="395"/>
      <c r="B454" s="383"/>
      <c r="C454" s="384"/>
      <c r="D454" s="385">
        <v>4269</v>
      </c>
      <c r="E454" s="385" t="s">
        <v>1202</v>
      </c>
      <c r="F454" s="386"/>
      <c r="G454" s="499"/>
      <c r="H454" s="501">
        <v>1300</v>
      </c>
      <c r="I454" s="501">
        <v>1300</v>
      </c>
      <c r="J454" s="501">
        <v>1300</v>
      </c>
    </row>
    <row r="455" spans="1:10" s="387" customFormat="1" ht="25.5">
      <c r="A455" s="395"/>
      <c r="B455" s="383"/>
      <c r="C455" s="384"/>
      <c r="D455" s="385">
        <v>4263</v>
      </c>
      <c r="E455" s="385" t="s">
        <v>1191</v>
      </c>
      <c r="F455" s="386">
        <v>0</v>
      </c>
      <c r="G455" s="499"/>
      <c r="H455" s="501">
        <v>5757.36</v>
      </c>
      <c r="I455" s="501">
        <v>5757.36</v>
      </c>
      <c r="J455" s="501">
        <v>5757.36</v>
      </c>
    </row>
    <row r="456" spans="1:10" ht="25.5">
      <c r="A456" s="408"/>
      <c r="B456" s="378">
        <v>1146</v>
      </c>
      <c r="C456" s="371">
        <v>11018</v>
      </c>
      <c r="D456" s="371"/>
      <c r="E456" s="380" t="s">
        <v>547</v>
      </c>
      <c r="F456" s="418">
        <f>+F457</f>
        <v>858636.9</v>
      </c>
      <c r="G456" s="510">
        <f>+G457</f>
        <v>858636.9</v>
      </c>
      <c r="H456" s="509">
        <f>+H457</f>
        <v>1033170.6</v>
      </c>
      <c r="I456" s="509">
        <f>+I457</f>
        <v>1048543.9</v>
      </c>
      <c r="J456" s="509">
        <f>+J457</f>
        <v>1063917.2</v>
      </c>
    </row>
    <row r="457" spans="1:10" s="387" customFormat="1">
      <c r="A457" s="395"/>
      <c r="B457" s="383"/>
      <c r="C457" s="384"/>
      <c r="D457" s="385">
        <v>4639</v>
      </c>
      <c r="E457" s="385" t="s">
        <v>1119</v>
      </c>
      <c r="F457" s="386">
        <v>858636.9</v>
      </c>
      <c r="G457" s="499">
        <v>858636.9</v>
      </c>
      <c r="H457" s="501">
        <v>1033170.6</v>
      </c>
      <c r="I457" s="501">
        <v>1048543.9</v>
      </c>
      <c r="J457" s="501">
        <v>1063917.2</v>
      </c>
    </row>
    <row r="458" spans="1:10" s="394" customFormat="1" ht="26.25" outlineLevel="1">
      <c r="A458" s="408"/>
      <c r="B458" s="373">
        <v>1146</v>
      </c>
      <c r="C458" s="421">
        <v>11019</v>
      </c>
      <c r="D458" s="421"/>
      <c r="E458" s="393" t="s">
        <v>1235</v>
      </c>
      <c r="F458" s="419">
        <v>7701.3</v>
      </c>
      <c r="G458" s="509">
        <v>0</v>
      </c>
      <c r="H458" s="500">
        <v>0</v>
      </c>
      <c r="I458" s="500">
        <v>0</v>
      </c>
      <c r="J458" s="509">
        <v>0</v>
      </c>
    </row>
    <row r="459" spans="1:10" s="394" customFormat="1" ht="25.5" outlineLevel="1">
      <c r="A459" s="408"/>
      <c r="B459" s="373">
        <v>1146</v>
      </c>
      <c r="C459" s="421">
        <v>11020</v>
      </c>
      <c r="D459" s="421"/>
      <c r="E459" s="393" t="s">
        <v>549</v>
      </c>
      <c r="F459" s="419">
        <v>14592.4</v>
      </c>
      <c r="G459" s="509">
        <v>0</v>
      </c>
      <c r="H459" s="500">
        <v>0</v>
      </c>
      <c r="I459" s="500">
        <v>0</v>
      </c>
      <c r="J459" s="509">
        <v>0</v>
      </c>
    </row>
    <row r="460" spans="1:10" s="394" customFormat="1" ht="26.25" outlineLevel="1">
      <c r="A460" s="408"/>
      <c r="B460" s="373">
        <v>1146</v>
      </c>
      <c r="C460" s="421">
        <v>11021</v>
      </c>
      <c r="D460" s="421"/>
      <c r="E460" s="393" t="s">
        <v>1236</v>
      </c>
      <c r="F460" s="419">
        <v>0</v>
      </c>
      <c r="G460" s="509">
        <v>0</v>
      </c>
      <c r="H460" s="500">
        <v>0</v>
      </c>
      <c r="I460" s="500">
        <v>0</v>
      </c>
      <c r="J460" s="509">
        <v>0</v>
      </c>
    </row>
    <row r="461" spans="1:10">
      <c r="A461" s="408"/>
      <c r="B461" s="378">
        <v>1146</v>
      </c>
      <c r="C461" s="371">
        <v>11025</v>
      </c>
      <c r="D461" s="371"/>
      <c r="E461" s="380" t="s">
        <v>551</v>
      </c>
      <c r="F461" s="418">
        <f>+F462</f>
        <v>601823.5</v>
      </c>
      <c r="G461" s="510">
        <f>+G462</f>
        <v>669796.1</v>
      </c>
      <c r="H461" s="515">
        <f>+H462</f>
        <v>672829.10000000009</v>
      </c>
      <c r="I461" s="515">
        <f>+I462</f>
        <v>650577.10000000009</v>
      </c>
      <c r="J461" s="515">
        <f>+J462</f>
        <v>674829.1</v>
      </c>
    </row>
    <row r="462" spans="1:10" s="387" customFormat="1" ht="38.25">
      <c r="A462" s="395"/>
      <c r="B462" s="383"/>
      <c r="C462" s="384"/>
      <c r="D462" s="385">
        <v>4637</v>
      </c>
      <c r="E462" s="385" t="s">
        <v>1121</v>
      </c>
      <c r="F462" s="386">
        <v>601823.5</v>
      </c>
      <c r="G462" s="499">
        <v>669796.1</v>
      </c>
      <c r="H462" s="504">
        <v>672829.10000000009</v>
      </c>
      <c r="I462" s="504">
        <v>650577.10000000009</v>
      </c>
      <c r="J462" s="504">
        <v>674829.1</v>
      </c>
    </row>
    <row r="463" spans="1:10" ht="51">
      <c r="A463" s="408"/>
      <c r="B463" s="378">
        <v>1146</v>
      </c>
      <c r="C463" s="371">
        <v>11026</v>
      </c>
      <c r="D463" s="371"/>
      <c r="E463" s="472" t="s">
        <v>1210</v>
      </c>
      <c r="F463" s="418">
        <f>+F464</f>
        <v>102367.6</v>
      </c>
      <c r="G463" s="510">
        <f>+G464</f>
        <v>116713.1</v>
      </c>
      <c r="H463" s="509">
        <f>+H464</f>
        <v>242769.7</v>
      </c>
      <c r="I463" s="509">
        <f>+I464</f>
        <v>208035.7</v>
      </c>
      <c r="J463" s="509">
        <f>+J464</f>
        <v>187841.6</v>
      </c>
    </row>
    <row r="464" spans="1:10" s="387" customFormat="1" ht="38.25">
      <c r="A464" s="395"/>
      <c r="B464" s="383"/>
      <c r="C464" s="384"/>
      <c r="D464" s="385">
        <v>4637</v>
      </c>
      <c r="E464" s="385" t="s">
        <v>1121</v>
      </c>
      <c r="F464" s="386">
        <v>102367.6</v>
      </c>
      <c r="G464" s="499">
        <v>116713.1</v>
      </c>
      <c r="H464" s="501">
        <v>242769.7</v>
      </c>
      <c r="I464" s="501">
        <v>208035.7</v>
      </c>
      <c r="J464" s="501">
        <v>187841.6</v>
      </c>
    </row>
    <row r="465" spans="1:10" ht="51">
      <c r="A465" s="408"/>
      <c r="B465" s="378">
        <v>1146</v>
      </c>
      <c r="C465" s="371">
        <v>11027</v>
      </c>
      <c r="D465" s="371"/>
      <c r="E465" s="380" t="s">
        <v>554</v>
      </c>
      <c r="F465" s="418">
        <f>+F466</f>
        <v>15045</v>
      </c>
      <c r="G465" s="510">
        <f>+G466</f>
        <v>15045</v>
      </c>
      <c r="H465" s="509">
        <f>+H466</f>
        <v>32220</v>
      </c>
      <c r="I465" s="509">
        <f>+I466</f>
        <v>32220</v>
      </c>
      <c r="J465" s="509">
        <f>+J466</f>
        <v>32220</v>
      </c>
    </row>
    <row r="466" spans="1:10" s="387" customFormat="1">
      <c r="A466" s="395"/>
      <c r="B466" s="383"/>
      <c r="C466" s="384"/>
      <c r="D466" s="385">
        <v>4639</v>
      </c>
      <c r="E466" s="385" t="s">
        <v>1119</v>
      </c>
      <c r="F466" s="386">
        <v>15045</v>
      </c>
      <c r="G466" s="499">
        <v>15045</v>
      </c>
      <c r="H466" s="501">
        <v>32220</v>
      </c>
      <c r="I466" s="501">
        <v>32220</v>
      </c>
      <c r="J466" s="501">
        <v>32220</v>
      </c>
    </row>
    <row r="467" spans="1:10" s="394" customFormat="1" ht="38.25">
      <c r="A467" s="408"/>
      <c r="B467" s="373">
        <v>1146</v>
      </c>
      <c r="C467" s="371">
        <v>11029</v>
      </c>
      <c r="D467" s="421"/>
      <c r="E467" s="393" t="s">
        <v>1153</v>
      </c>
      <c r="F467" s="419">
        <f>+F468</f>
        <v>4176</v>
      </c>
      <c r="G467" s="509">
        <f>+G468</f>
        <v>0</v>
      </c>
      <c r="H467" s="509">
        <f>+H468</f>
        <v>5280</v>
      </c>
      <c r="I467" s="502">
        <f>I468</f>
        <v>5280</v>
      </c>
      <c r="J467" s="502">
        <f>J468</f>
        <v>5280</v>
      </c>
    </row>
    <row r="468" spans="1:10" s="394" customFormat="1">
      <c r="A468" s="408"/>
      <c r="B468" s="373"/>
      <c r="C468" s="384"/>
      <c r="D468" s="385">
        <v>4639</v>
      </c>
      <c r="E468" s="385" t="s">
        <v>1119</v>
      </c>
      <c r="F468" s="389">
        <v>4176</v>
      </c>
      <c r="G468" s="501">
        <v>0</v>
      </c>
      <c r="H468" s="501">
        <v>5280</v>
      </c>
      <c r="I468" s="501">
        <v>5280</v>
      </c>
      <c r="J468" s="501">
        <v>5280</v>
      </c>
    </row>
    <row r="469" spans="1:10" s="394" customFormat="1" ht="38.25" outlineLevel="1">
      <c r="A469" s="408"/>
      <c r="B469" s="373">
        <v>1146</v>
      </c>
      <c r="C469" s="421">
        <v>11030</v>
      </c>
      <c r="D469" s="421"/>
      <c r="E469" s="393" t="s">
        <v>557</v>
      </c>
      <c r="F469" s="419">
        <v>4500</v>
      </c>
      <c r="G469" s="509">
        <v>0</v>
      </c>
      <c r="H469" s="500">
        <v>0</v>
      </c>
      <c r="I469" s="500">
        <v>0</v>
      </c>
      <c r="J469" s="500">
        <v>0</v>
      </c>
    </row>
    <row r="470" spans="1:10" ht="38.25">
      <c r="A470" s="408"/>
      <c r="B470" s="378">
        <v>1146</v>
      </c>
      <c r="C470" s="371">
        <v>12001</v>
      </c>
      <c r="D470" s="371"/>
      <c r="E470" s="380" t="s">
        <v>558</v>
      </c>
      <c r="F470" s="418">
        <f>+F471</f>
        <v>7548.5</v>
      </c>
      <c r="G470" s="510">
        <f>+G471</f>
        <v>6275.6</v>
      </c>
      <c r="H470" s="509">
        <f>+H471</f>
        <v>21951.67</v>
      </c>
      <c r="I470" s="509">
        <f>+I471</f>
        <v>27439.58</v>
      </c>
      <c r="J470" s="509">
        <f>+J471</f>
        <v>32927.5</v>
      </c>
    </row>
    <row r="471" spans="1:10" s="387" customFormat="1">
      <c r="A471" s="395"/>
      <c r="B471" s="396"/>
      <c r="C471" s="385"/>
      <c r="D471" s="385">
        <v>4200</v>
      </c>
      <c r="E471" s="385" t="s">
        <v>1137</v>
      </c>
      <c r="F471" s="389">
        <v>7548.5</v>
      </c>
      <c r="G471" s="501">
        <v>6275.6</v>
      </c>
      <c r="H471" s="501">
        <v>21951.67</v>
      </c>
      <c r="I471" s="501">
        <v>27439.58</v>
      </c>
      <c r="J471" s="501">
        <v>32927.5</v>
      </c>
    </row>
    <row r="472" spans="1:10" ht="38.25">
      <c r="A472" s="408"/>
      <c r="B472" s="373">
        <v>1146</v>
      </c>
      <c r="C472" s="421">
        <v>12002</v>
      </c>
      <c r="D472" s="421"/>
      <c r="E472" s="393" t="s">
        <v>559</v>
      </c>
      <c r="F472" s="419">
        <f>SUM(F473,F476,F478,F480,F482,F484,F486,F488,F490,F492,F494)</f>
        <v>521227.52999999997</v>
      </c>
      <c r="G472" s="509">
        <f>SUM(G473,G474,G476,G478,G480,G482,G484,G486,G488,G490,G492,G494)</f>
        <v>564503.49999999988</v>
      </c>
      <c r="H472" s="509">
        <f>SUM(H473,H474,H476,H478,H480,H482,H484,H486,H488,H490,H492,H494)</f>
        <v>2765337.9000000008</v>
      </c>
      <c r="I472" s="509">
        <f t="shared" ref="I472:J472" si="70">SUM(I473,I474,I476,I478,I480,I482,I484,I486,I488,I490,I492,I494)</f>
        <v>3300405.9000000008</v>
      </c>
      <c r="J472" s="509">
        <f t="shared" si="70"/>
        <v>3835637.9000000008</v>
      </c>
    </row>
    <row r="473" spans="1:10" ht="25.5" hidden="1">
      <c r="A473" s="408"/>
      <c r="B473" s="373"/>
      <c r="C473" s="385"/>
      <c r="D473" s="421"/>
      <c r="E473" s="428" t="s">
        <v>1123</v>
      </c>
      <c r="F473" s="545">
        <f>+F474+F475</f>
        <v>48443.86</v>
      </c>
      <c r="G473" s="507">
        <f>+G474+G475</f>
        <v>43633.3</v>
      </c>
      <c r="H473" s="507">
        <f t="shared" ref="H473:J473" si="71">+H474+H475</f>
        <v>1138432.8</v>
      </c>
      <c r="I473" s="507">
        <f t="shared" si="71"/>
        <v>1405966.8</v>
      </c>
      <c r="J473" s="507">
        <f t="shared" si="71"/>
        <v>1673582.8</v>
      </c>
    </row>
    <row r="474" spans="1:10" s="387" customFormat="1" ht="51" hidden="1">
      <c r="A474" s="395"/>
      <c r="B474" s="396"/>
      <c r="C474" s="385"/>
      <c r="D474" s="385">
        <v>4637</v>
      </c>
      <c r="E474" s="385" t="s">
        <v>1218</v>
      </c>
      <c r="F474" s="389">
        <v>45919.66</v>
      </c>
      <c r="G474" s="501">
        <v>41187.5</v>
      </c>
      <c r="H474" s="501">
        <f>66675+1069312</f>
        <v>1135987</v>
      </c>
      <c r="I474" s="501">
        <f>66675+1336846</f>
        <v>1403521</v>
      </c>
      <c r="J474" s="501">
        <f>66675+1604462</f>
        <v>1671137</v>
      </c>
    </row>
    <row r="475" spans="1:10" s="387" customFormat="1" hidden="1">
      <c r="A475" s="395"/>
      <c r="B475" s="396"/>
      <c r="C475" s="385"/>
      <c r="D475" s="385">
        <v>4639</v>
      </c>
      <c r="E475" s="385" t="s">
        <v>1125</v>
      </c>
      <c r="F475" s="389">
        <v>2524.1999999999998</v>
      </c>
      <c r="G475" s="501">
        <v>2445.8000000000002</v>
      </c>
      <c r="H475" s="501">
        <v>2445.8000000000002</v>
      </c>
      <c r="I475" s="501">
        <v>2445.8000000000002</v>
      </c>
      <c r="J475" s="501">
        <v>2445.8000000000002</v>
      </c>
    </row>
    <row r="476" spans="1:10" hidden="1">
      <c r="A476" s="408"/>
      <c r="B476" s="373"/>
      <c r="C476" s="421"/>
      <c r="D476" s="421"/>
      <c r="E476" s="428" t="s">
        <v>1173</v>
      </c>
      <c r="F476" s="545">
        <f>+F477</f>
        <v>46875.28</v>
      </c>
      <c r="G476" s="507">
        <f>+G477</f>
        <v>43784.6</v>
      </c>
      <c r="H476" s="507">
        <f>+H477</f>
        <v>43784.6</v>
      </c>
      <c r="I476" s="507">
        <f>+I477</f>
        <v>43784.6</v>
      </c>
      <c r="J476" s="507">
        <f>+J477</f>
        <v>43784.6</v>
      </c>
    </row>
    <row r="477" spans="1:10" s="387" customFormat="1" hidden="1">
      <c r="A477" s="395"/>
      <c r="B477" s="396"/>
      <c r="C477" s="385"/>
      <c r="D477" s="385">
        <v>4637</v>
      </c>
      <c r="E477" s="385" t="s">
        <v>1125</v>
      </c>
      <c r="F477" s="389">
        <v>46875.28</v>
      </c>
      <c r="G477" s="501">
        <v>43784.6</v>
      </c>
      <c r="H477" s="501">
        <v>43784.6</v>
      </c>
      <c r="I477" s="501">
        <v>43784.6</v>
      </c>
      <c r="J477" s="501">
        <v>43784.6</v>
      </c>
    </row>
    <row r="478" spans="1:10" hidden="1">
      <c r="A478" s="408"/>
      <c r="B478" s="373"/>
      <c r="C478" s="421"/>
      <c r="D478" s="421"/>
      <c r="E478" s="428" t="s">
        <v>1142</v>
      </c>
      <c r="F478" s="545">
        <f>+F479</f>
        <v>88680.4</v>
      </c>
      <c r="G478" s="507">
        <f>+G479</f>
        <v>73496.2</v>
      </c>
      <c r="H478" s="507">
        <f>+H479</f>
        <v>73496.2</v>
      </c>
      <c r="I478" s="507">
        <f>+I479</f>
        <v>73496.2</v>
      </c>
      <c r="J478" s="507">
        <f>+J479</f>
        <v>73496.2</v>
      </c>
    </row>
    <row r="479" spans="1:10" s="387" customFormat="1" hidden="1">
      <c r="A479" s="395"/>
      <c r="B479" s="396"/>
      <c r="C479" s="385"/>
      <c r="D479" s="385">
        <v>4637</v>
      </c>
      <c r="E479" s="385" t="s">
        <v>1125</v>
      </c>
      <c r="F479" s="389">
        <v>88680.4</v>
      </c>
      <c r="G479" s="501">
        <v>73496.2</v>
      </c>
      <c r="H479" s="501">
        <v>73496.2</v>
      </c>
      <c r="I479" s="501">
        <v>73496.2</v>
      </c>
      <c r="J479" s="501">
        <v>73496.2</v>
      </c>
    </row>
    <row r="480" spans="1:10" hidden="1">
      <c r="A480" s="408"/>
      <c r="B480" s="373"/>
      <c r="C480" s="421"/>
      <c r="D480" s="421"/>
      <c r="E480" s="428" t="s">
        <v>1174</v>
      </c>
      <c r="F480" s="545">
        <f>+F481</f>
        <v>43634.58</v>
      </c>
      <c r="G480" s="507">
        <f>+G481</f>
        <v>50433.5</v>
      </c>
      <c r="H480" s="507">
        <f>+H481</f>
        <v>50433.5</v>
      </c>
      <c r="I480" s="507">
        <f>+I481</f>
        <v>50433.5</v>
      </c>
      <c r="J480" s="507">
        <f>+J481</f>
        <v>50433.5</v>
      </c>
    </row>
    <row r="481" spans="1:10" s="387" customFormat="1" hidden="1">
      <c r="A481" s="395"/>
      <c r="B481" s="396"/>
      <c r="C481" s="385"/>
      <c r="D481" s="385">
        <v>4637</v>
      </c>
      <c r="E481" s="385" t="s">
        <v>1125</v>
      </c>
      <c r="F481" s="389">
        <v>43634.58</v>
      </c>
      <c r="G481" s="501">
        <v>50433.5</v>
      </c>
      <c r="H481" s="501">
        <v>50433.5</v>
      </c>
      <c r="I481" s="501">
        <v>50433.5</v>
      </c>
      <c r="J481" s="501">
        <v>50433.5</v>
      </c>
    </row>
    <row r="482" spans="1:10" hidden="1">
      <c r="A482" s="408"/>
      <c r="B482" s="373"/>
      <c r="C482" s="421"/>
      <c r="D482" s="421"/>
      <c r="E482" s="428" t="s">
        <v>1144</v>
      </c>
      <c r="F482" s="545">
        <f>+F483</f>
        <v>19003.310000000001</v>
      </c>
      <c r="G482" s="507">
        <f>+G483</f>
        <v>31643.599999999999</v>
      </c>
      <c r="H482" s="507">
        <f>+H483</f>
        <v>31643.599999999999</v>
      </c>
      <c r="I482" s="507">
        <f>+I483</f>
        <v>31643.599999999999</v>
      </c>
      <c r="J482" s="507">
        <f>+J483</f>
        <v>31643.599999999999</v>
      </c>
    </row>
    <row r="483" spans="1:10" s="387" customFormat="1" hidden="1">
      <c r="A483" s="395"/>
      <c r="B483" s="396"/>
      <c r="C483" s="385"/>
      <c r="D483" s="385">
        <v>4637</v>
      </c>
      <c r="E483" s="385" t="s">
        <v>1125</v>
      </c>
      <c r="F483" s="389">
        <v>19003.310000000001</v>
      </c>
      <c r="G483" s="501">
        <v>31643.599999999999</v>
      </c>
      <c r="H483" s="501">
        <v>31643.599999999999</v>
      </c>
      <c r="I483" s="501">
        <v>31643.599999999999</v>
      </c>
      <c r="J483" s="501">
        <v>31643.599999999999</v>
      </c>
    </row>
    <row r="484" spans="1:10" hidden="1">
      <c r="A484" s="408"/>
      <c r="B484" s="373"/>
      <c r="C484" s="421"/>
      <c r="D484" s="421"/>
      <c r="E484" s="428" t="s">
        <v>1145</v>
      </c>
      <c r="F484" s="545">
        <f>+F485</f>
        <v>55371.5</v>
      </c>
      <c r="G484" s="507">
        <f>+G485</f>
        <v>65213.7</v>
      </c>
      <c r="H484" s="507">
        <f>+H485</f>
        <v>65213.7</v>
      </c>
      <c r="I484" s="507">
        <f>+I485</f>
        <v>65213.7</v>
      </c>
      <c r="J484" s="507">
        <f>+J485</f>
        <v>65213.7</v>
      </c>
    </row>
    <row r="485" spans="1:10" s="387" customFormat="1" hidden="1">
      <c r="A485" s="395"/>
      <c r="B485" s="396"/>
      <c r="C485" s="385"/>
      <c r="D485" s="385">
        <v>4637</v>
      </c>
      <c r="E485" s="385" t="s">
        <v>1125</v>
      </c>
      <c r="F485" s="389">
        <v>55371.5</v>
      </c>
      <c r="G485" s="501">
        <v>65213.7</v>
      </c>
      <c r="H485" s="501">
        <v>65213.7</v>
      </c>
      <c r="I485" s="501">
        <v>65213.7</v>
      </c>
      <c r="J485" s="501">
        <v>65213.7</v>
      </c>
    </row>
    <row r="486" spans="1:10" hidden="1">
      <c r="A486" s="408"/>
      <c r="B486" s="373"/>
      <c r="C486" s="421"/>
      <c r="D486" s="421"/>
      <c r="E486" s="428" t="s">
        <v>1146</v>
      </c>
      <c r="F486" s="545">
        <f>+F487</f>
        <v>59463.7</v>
      </c>
      <c r="G486" s="507">
        <f>+G487</f>
        <v>46411.6</v>
      </c>
      <c r="H486" s="507">
        <f>+H487</f>
        <v>46411.6</v>
      </c>
      <c r="I486" s="507">
        <f>+I487</f>
        <v>46411.6</v>
      </c>
      <c r="J486" s="507">
        <f>+J487</f>
        <v>46411.6</v>
      </c>
    </row>
    <row r="487" spans="1:10" s="387" customFormat="1" hidden="1">
      <c r="A487" s="395"/>
      <c r="B487" s="396"/>
      <c r="C487" s="385"/>
      <c r="D487" s="385">
        <v>4637</v>
      </c>
      <c r="E487" s="385" t="s">
        <v>1125</v>
      </c>
      <c r="F487" s="389">
        <v>59463.7</v>
      </c>
      <c r="G487" s="501">
        <v>46411.6</v>
      </c>
      <c r="H487" s="501">
        <v>46411.6</v>
      </c>
      <c r="I487" s="501">
        <v>46411.6</v>
      </c>
      <c r="J487" s="501">
        <v>46411.6</v>
      </c>
    </row>
    <row r="488" spans="1:10" hidden="1">
      <c r="A488" s="408"/>
      <c r="B488" s="373"/>
      <c r="C488" s="421"/>
      <c r="D488" s="421"/>
      <c r="E488" s="428" t="s">
        <v>1147</v>
      </c>
      <c r="F488" s="545">
        <f>+F489</f>
        <v>52640.81</v>
      </c>
      <c r="G488" s="507">
        <f>+G489</f>
        <v>52537</v>
      </c>
      <c r="H488" s="507">
        <f>+H489</f>
        <v>52537</v>
      </c>
      <c r="I488" s="507">
        <f>+I489</f>
        <v>52537</v>
      </c>
      <c r="J488" s="507">
        <f>+J489</f>
        <v>52537</v>
      </c>
    </row>
    <row r="489" spans="1:10" s="387" customFormat="1" hidden="1">
      <c r="A489" s="395"/>
      <c r="B489" s="396"/>
      <c r="C489" s="385"/>
      <c r="D489" s="385">
        <v>4637</v>
      </c>
      <c r="E489" s="385" t="s">
        <v>1125</v>
      </c>
      <c r="F489" s="389">
        <v>52640.81</v>
      </c>
      <c r="G489" s="501">
        <v>52537</v>
      </c>
      <c r="H489" s="501">
        <v>52537</v>
      </c>
      <c r="I489" s="501">
        <v>52537</v>
      </c>
      <c r="J489" s="501">
        <v>52537</v>
      </c>
    </row>
    <row r="490" spans="1:10" hidden="1">
      <c r="A490" s="408"/>
      <c r="B490" s="373"/>
      <c r="C490" s="421"/>
      <c r="D490" s="421"/>
      <c r="E490" s="428" t="s">
        <v>1148</v>
      </c>
      <c r="F490" s="545">
        <f>+F491</f>
        <v>48594.95</v>
      </c>
      <c r="G490" s="507">
        <f>+G491</f>
        <v>47906.2</v>
      </c>
      <c r="H490" s="507">
        <f>+H491</f>
        <v>59141.599999999999</v>
      </c>
      <c r="I490" s="507">
        <f>+I491</f>
        <v>59141.599999999999</v>
      </c>
      <c r="J490" s="507">
        <f>+J491</f>
        <v>59141.599999999999</v>
      </c>
    </row>
    <row r="491" spans="1:10" s="387" customFormat="1" hidden="1">
      <c r="A491" s="395"/>
      <c r="B491" s="396"/>
      <c r="C491" s="385"/>
      <c r="D491" s="385">
        <v>4637</v>
      </c>
      <c r="E491" s="385" t="s">
        <v>1125</v>
      </c>
      <c r="F491" s="389">
        <v>48594.95</v>
      </c>
      <c r="G491" s="501">
        <v>47906.2</v>
      </c>
      <c r="H491" s="501">
        <v>59141.599999999999</v>
      </c>
      <c r="I491" s="501">
        <v>59141.599999999999</v>
      </c>
      <c r="J491" s="501">
        <v>59141.599999999999</v>
      </c>
    </row>
    <row r="492" spans="1:10" hidden="1">
      <c r="A492" s="408"/>
      <c r="B492" s="373"/>
      <c r="C492" s="421"/>
      <c r="D492" s="421"/>
      <c r="E492" s="428" t="s">
        <v>1149</v>
      </c>
      <c r="F492" s="545">
        <f>+F493</f>
        <v>25303.35</v>
      </c>
      <c r="G492" s="507">
        <f>+G493</f>
        <v>29837.599999999999</v>
      </c>
      <c r="H492" s="507">
        <f>+H493</f>
        <v>29837.599999999999</v>
      </c>
      <c r="I492" s="507">
        <f>+I493</f>
        <v>29837.599999999999</v>
      </c>
      <c r="J492" s="507">
        <f>+J493</f>
        <v>29837.599999999999</v>
      </c>
    </row>
    <row r="493" spans="1:10" s="387" customFormat="1" hidden="1">
      <c r="A493" s="395"/>
      <c r="B493" s="396"/>
      <c r="C493" s="385"/>
      <c r="D493" s="385">
        <v>4637</v>
      </c>
      <c r="E493" s="385" t="s">
        <v>1125</v>
      </c>
      <c r="F493" s="389">
        <v>25303.35</v>
      </c>
      <c r="G493" s="501">
        <v>29837.599999999999</v>
      </c>
      <c r="H493" s="501">
        <v>29837.599999999999</v>
      </c>
      <c r="I493" s="501">
        <v>29837.599999999999</v>
      </c>
      <c r="J493" s="501">
        <v>29837.599999999999</v>
      </c>
    </row>
    <row r="494" spans="1:10" hidden="1">
      <c r="A494" s="408"/>
      <c r="B494" s="373"/>
      <c r="C494" s="421"/>
      <c r="D494" s="421"/>
      <c r="E494" s="428" t="s">
        <v>1150</v>
      </c>
      <c r="F494" s="545">
        <f>+F495</f>
        <v>33215.79</v>
      </c>
      <c r="G494" s="507">
        <f>+G495</f>
        <v>38418.699999999997</v>
      </c>
      <c r="H494" s="507">
        <f>+H495</f>
        <v>38418.699999999997</v>
      </c>
      <c r="I494" s="507">
        <f>+I495</f>
        <v>38418.699999999997</v>
      </c>
      <c r="J494" s="507">
        <f>+J495</f>
        <v>38418.699999999997</v>
      </c>
    </row>
    <row r="495" spans="1:10" s="387" customFormat="1" hidden="1">
      <c r="A495" s="395"/>
      <c r="B495" s="396"/>
      <c r="C495" s="385"/>
      <c r="D495" s="385">
        <v>4637</v>
      </c>
      <c r="E495" s="385" t="s">
        <v>1125</v>
      </c>
      <c r="F495" s="389">
        <v>33215.79</v>
      </c>
      <c r="G495" s="501">
        <v>38418.699999999997</v>
      </c>
      <c r="H495" s="501">
        <v>38418.699999999997</v>
      </c>
      <c r="I495" s="501">
        <v>38418.699999999997</v>
      </c>
      <c r="J495" s="501">
        <v>38418.699999999997</v>
      </c>
    </row>
    <row r="496" spans="1:10" ht="89.25">
      <c r="A496" s="408"/>
      <c r="B496" s="373">
        <v>1146</v>
      </c>
      <c r="C496" s="421">
        <v>12003</v>
      </c>
      <c r="D496" s="421"/>
      <c r="E496" s="393" t="s">
        <v>1206</v>
      </c>
      <c r="F496" s="419">
        <f>+F497</f>
        <v>29690.74</v>
      </c>
      <c r="G496" s="509">
        <f>+G497</f>
        <v>33580.800000000003</v>
      </c>
      <c r="H496" s="509">
        <f>+H497</f>
        <v>94780.1</v>
      </c>
      <c r="I496" s="509">
        <f>+I497</f>
        <v>107327.5</v>
      </c>
      <c r="J496" s="509">
        <f>+J497</f>
        <v>103854.1</v>
      </c>
    </row>
    <row r="497" spans="1:10" s="387" customFormat="1">
      <c r="A497" s="395"/>
      <c r="B497" s="396"/>
      <c r="C497" s="385"/>
      <c r="D497" s="385">
        <v>4729</v>
      </c>
      <c r="E497" s="385" t="s">
        <v>1125</v>
      </c>
      <c r="F497" s="389">
        <v>29690.74</v>
      </c>
      <c r="G497" s="501">
        <v>33580.800000000003</v>
      </c>
      <c r="H497" s="501">
        <v>94780.1</v>
      </c>
      <c r="I497" s="501">
        <v>107327.5</v>
      </c>
      <c r="J497" s="501">
        <v>103854.1</v>
      </c>
    </row>
    <row r="498" spans="1:10" ht="38.25">
      <c r="A498" s="408"/>
      <c r="B498" s="373">
        <v>1146</v>
      </c>
      <c r="C498" s="421">
        <v>12004</v>
      </c>
      <c r="D498" s="421"/>
      <c r="E498" s="393" t="s">
        <v>561</v>
      </c>
      <c r="F498" s="419">
        <f>SUM(F499,F501,F503,F505,F507,F509,F511,F513,F515,F517,F519,F521)</f>
        <v>257435.91</v>
      </c>
      <c r="G498" s="509">
        <f>SUM(G499,G501,G503,G505,G507,G509,G511,G513,G515,G517,G519,G521)</f>
        <v>368073.5</v>
      </c>
      <c r="H498" s="509">
        <f>SUM(H499,H501,H503,H505,H507,H509,H511,H513,H515,H517,H519,H521)</f>
        <v>377600.50000000006</v>
      </c>
      <c r="I498" s="509">
        <f>SUM(I499,I501,I503,I505,I507,I509,I511,I513,I515,I517,I519,I521)</f>
        <v>383911.60000000003</v>
      </c>
      <c r="J498" s="509">
        <f>SUM(J499,J501,J503,J505,J507,J509,J511,J513,J515,J517,J519,J521)</f>
        <v>385222.7</v>
      </c>
    </row>
    <row r="499" spans="1:10" ht="25.5" hidden="1">
      <c r="A499" s="408"/>
      <c r="B499" s="373"/>
      <c r="C499" s="385"/>
      <c r="D499" s="421"/>
      <c r="E499" s="428" t="s">
        <v>1140</v>
      </c>
      <c r="F499" s="545">
        <f>+F500</f>
        <v>37662.199999999997</v>
      </c>
      <c r="G499" s="507">
        <f>+G500</f>
        <v>37662.199999999997</v>
      </c>
      <c r="H499" s="507">
        <f>+H500</f>
        <v>37662.199999999997</v>
      </c>
      <c r="I499" s="507">
        <f>+I500</f>
        <v>37662.199999999997</v>
      </c>
      <c r="J499" s="507">
        <f>+J500</f>
        <v>37662.199999999997</v>
      </c>
    </row>
    <row r="500" spans="1:10" s="387" customFormat="1" hidden="1">
      <c r="A500" s="382"/>
      <c r="B500" s="383"/>
      <c r="C500" s="384"/>
      <c r="D500" s="385">
        <v>4729</v>
      </c>
      <c r="E500" s="385" t="s">
        <v>1125</v>
      </c>
      <c r="F500" s="386">
        <v>37662.199999999997</v>
      </c>
      <c r="G500" s="499">
        <v>37662.199999999997</v>
      </c>
      <c r="H500" s="499">
        <v>37662.199999999997</v>
      </c>
      <c r="I500" s="499">
        <v>37662.199999999997</v>
      </c>
      <c r="J500" s="499">
        <v>37662.199999999997</v>
      </c>
    </row>
    <row r="501" spans="1:10" ht="25.5" hidden="1">
      <c r="A501" s="359"/>
      <c r="B501" s="373"/>
      <c r="C501" s="371"/>
      <c r="D501" s="421"/>
      <c r="E501" s="406" t="s">
        <v>1123</v>
      </c>
      <c r="F501" s="407">
        <f>+F502</f>
        <v>75983.16</v>
      </c>
      <c r="G501" s="506">
        <f>+G502</f>
        <v>151525.5</v>
      </c>
      <c r="H501" s="506">
        <f>+H502</f>
        <v>151525.5</v>
      </c>
      <c r="I501" s="506">
        <f>+I502</f>
        <v>151525.5</v>
      </c>
      <c r="J501" s="506">
        <f>+J502</f>
        <v>151525.5</v>
      </c>
    </row>
    <row r="502" spans="1:10" s="387" customFormat="1" hidden="1">
      <c r="A502" s="382"/>
      <c r="B502" s="383"/>
      <c r="C502" s="384"/>
      <c r="D502" s="385">
        <v>4729</v>
      </c>
      <c r="E502" s="385" t="s">
        <v>1125</v>
      </c>
      <c r="F502" s="386">
        <v>75983.16</v>
      </c>
      <c r="G502" s="499">
        <v>151525.5</v>
      </c>
      <c r="H502" s="499">
        <v>151525.5</v>
      </c>
      <c r="I502" s="499">
        <v>151525.5</v>
      </c>
      <c r="J502" s="499">
        <v>151525.5</v>
      </c>
    </row>
    <row r="503" spans="1:10" hidden="1">
      <c r="A503" s="359"/>
      <c r="B503" s="373"/>
      <c r="C503" s="371"/>
      <c r="D503" s="421"/>
      <c r="E503" s="406" t="s">
        <v>1141</v>
      </c>
      <c r="F503" s="407">
        <f>+F504</f>
        <v>4928.3</v>
      </c>
      <c r="G503" s="506">
        <f>+G504</f>
        <v>5900</v>
      </c>
      <c r="H503" s="506">
        <f>+H504</f>
        <v>5900</v>
      </c>
      <c r="I503" s="506">
        <f>+I504</f>
        <v>5900</v>
      </c>
      <c r="J503" s="506">
        <f>+J504</f>
        <v>5900</v>
      </c>
    </row>
    <row r="504" spans="1:10" s="387" customFormat="1" hidden="1">
      <c r="A504" s="382"/>
      <c r="B504" s="383"/>
      <c r="C504" s="384"/>
      <c r="D504" s="385">
        <v>4729</v>
      </c>
      <c r="E504" s="385" t="s">
        <v>1125</v>
      </c>
      <c r="F504" s="386">
        <v>4928.3</v>
      </c>
      <c r="G504" s="499">
        <v>5900</v>
      </c>
      <c r="H504" s="499">
        <v>5900</v>
      </c>
      <c r="I504" s="499">
        <v>5900</v>
      </c>
      <c r="J504" s="499">
        <v>5900</v>
      </c>
    </row>
    <row r="505" spans="1:10" hidden="1">
      <c r="A505" s="359"/>
      <c r="B505" s="373"/>
      <c r="C505" s="371"/>
      <c r="D505" s="421"/>
      <c r="E505" s="406" t="s">
        <v>1142</v>
      </c>
      <c r="F505" s="407">
        <f>+F506</f>
        <v>12094.3</v>
      </c>
      <c r="G505" s="506">
        <f>+G506</f>
        <v>14211</v>
      </c>
      <c r="H505" s="506">
        <f>+H506</f>
        <v>14211</v>
      </c>
      <c r="I505" s="506">
        <f>+I506</f>
        <v>14211</v>
      </c>
      <c r="J505" s="506">
        <f>+J506</f>
        <v>14211</v>
      </c>
    </row>
    <row r="506" spans="1:10" s="387" customFormat="1" hidden="1">
      <c r="A506" s="382"/>
      <c r="B506" s="383"/>
      <c r="C506" s="384"/>
      <c r="D506" s="385">
        <v>4729</v>
      </c>
      <c r="E506" s="385" t="s">
        <v>1125</v>
      </c>
      <c r="F506" s="386">
        <v>12094.3</v>
      </c>
      <c r="G506" s="499">
        <v>14211</v>
      </c>
      <c r="H506" s="499">
        <v>14211</v>
      </c>
      <c r="I506" s="499">
        <v>14211</v>
      </c>
      <c r="J506" s="499">
        <v>14211</v>
      </c>
    </row>
    <row r="507" spans="1:10" hidden="1">
      <c r="A507" s="359"/>
      <c r="B507" s="373"/>
      <c r="C507" s="371"/>
      <c r="D507" s="421"/>
      <c r="E507" s="406" t="s">
        <v>1143</v>
      </c>
      <c r="F507" s="407">
        <f>+F508</f>
        <v>5381.5</v>
      </c>
      <c r="G507" s="506">
        <f>+G508</f>
        <v>11464</v>
      </c>
      <c r="H507" s="506">
        <f>+H508</f>
        <v>13101.7</v>
      </c>
      <c r="I507" s="506">
        <f>+I508</f>
        <v>13101.7</v>
      </c>
      <c r="J507" s="506">
        <f>+J508</f>
        <v>13101.7</v>
      </c>
    </row>
    <row r="508" spans="1:10" s="387" customFormat="1" hidden="1">
      <c r="A508" s="382"/>
      <c r="B508" s="383"/>
      <c r="C508" s="384"/>
      <c r="D508" s="385">
        <v>4729</v>
      </c>
      <c r="E508" s="385" t="s">
        <v>1125</v>
      </c>
      <c r="F508" s="386">
        <v>5381.5</v>
      </c>
      <c r="G508" s="499">
        <v>11464</v>
      </c>
      <c r="H508" s="499">
        <v>13101.7</v>
      </c>
      <c r="I508" s="499">
        <v>13101.7</v>
      </c>
      <c r="J508" s="499">
        <v>13101.7</v>
      </c>
    </row>
    <row r="509" spans="1:10" hidden="1">
      <c r="A509" s="359"/>
      <c r="B509" s="373"/>
      <c r="C509" s="371"/>
      <c r="D509" s="421"/>
      <c r="E509" s="406" t="s">
        <v>1144</v>
      </c>
      <c r="F509" s="407">
        <f>+F510</f>
        <v>10880.74</v>
      </c>
      <c r="G509" s="506">
        <f>+G510</f>
        <v>14500</v>
      </c>
      <c r="H509" s="506">
        <f>+H510</f>
        <v>14500</v>
      </c>
      <c r="I509" s="506">
        <f>+I510</f>
        <v>14500</v>
      </c>
      <c r="J509" s="506">
        <f>+J510</f>
        <v>14500</v>
      </c>
    </row>
    <row r="510" spans="1:10" s="387" customFormat="1" hidden="1">
      <c r="A510" s="382"/>
      <c r="B510" s="383"/>
      <c r="C510" s="384"/>
      <c r="D510" s="385">
        <v>4729</v>
      </c>
      <c r="E510" s="385" t="s">
        <v>1125</v>
      </c>
      <c r="F510" s="386">
        <v>10880.74</v>
      </c>
      <c r="G510" s="499">
        <v>14500</v>
      </c>
      <c r="H510" s="499">
        <v>14500</v>
      </c>
      <c r="I510" s="499">
        <v>14500</v>
      </c>
      <c r="J510" s="499">
        <v>14500</v>
      </c>
    </row>
    <row r="511" spans="1:10" hidden="1">
      <c r="A511" s="359"/>
      <c r="B511" s="373"/>
      <c r="C511" s="371"/>
      <c r="D511" s="421"/>
      <c r="E511" s="406" t="s">
        <v>1145</v>
      </c>
      <c r="F511" s="407">
        <f>+F512</f>
        <v>32507</v>
      </c>
      <c r="G511" s="506">
        <f>+G512</f>
        <v>31200</v>
      </c>
      <c r="H511" s="506">
        <f>+H512</f>
        <v>25350</v>
      </c>
      <c r="I511" s="506">
        <f>+I512</f>
        <v>25350</v>
      </c>
      <c r="J511" s="506">
        <f>+J512</f>
        <v>25350</v>
      </c>
    </row>
    <row r="512" spans="1:10" s="387" customFormat="1" hidden="1">
      <c r="A512" s="395"/>
      <c r="B512" s="396"/>
      <c r="C512" s="385"/>
      <c r="D512" s="385">
        <v>4729</v>
      </c>
      <c r="E512" s="385" t="s">
        <v>1125</v>
      </c>
      <c r="F512" s="389">
        <v>32507</v>
      </c>
      <c r="G512" s="501">
        <v>31200</v>
      </c>
      <c r="H512" s="501">
        <v>25350</v>
      </c>
      <c r="I512" s="501">
        <v>25350</v>
      </c>
      <c r="J512" s="501">
        <v>25350</v>
      </c>
    </row>
    <row r="513" spans="1:10" hidden="1">
      <c r="A513" s="408"/>
      <c r="B513" s="373"/>
      <c r="C513" s="421"/>
      <c r="D513" s="421"/>
      <c r="E513" s="428" t="s">
        <v>1146</v>
      </c>
      <c r="F513" s="545">
        <f>+F514</f>
        <v>42375.7</v>
      </c>
      <c r="G513" s="507">
        <f>+G514</f>
        <v>40309</v>
      </c>
      <c r="H513" s="507">
        <f>+H514</f>
        <v>49580</v>
      </c>
      <c r="I513" s="507">
        <f>+I514</f>
        <v>54580</v>
      </c>
      <c r="J513" s="507">
        <f>+J514</f>
        <v>54580</v>
      </c>
    </row>
    <row r="514" spans="1:10" s="387" customFormat="1" hidden="1">
      <c r="A514" s="395"/>
      <c r="B514" s="396"/>
      <c r="C514" s="385"/>
      <c r="D514" s="385">
        <v>4729</v>
      </c>
      <c r="E514" s="385" t="s">
        <v>1125</v>
      </c>
      <c r="F514" s="389">
        <v>42375.7</v>
      </c>
      <c r="G514" s="501">
        <v>40309</v>
      </c>
      <c r="H514" s="501">
        <v>49580</v>
      </c>
      <c r="I514" s="501">
        <v>54580</v>
      </c>
      <c r="J514" s="501">
        <v>54580</v>
      </c>
    </row>
    <row r="515" spans="1:10" hidden="1">
      <c r="A515" s="408"/>
      <c r="B515" s="373"/>
      <c r="C515" s="421"/>
      <c r="D515" s="421"/>
      <c r="E515" s="428" t="s">
        <v>1147</v>
      </c>
      <c r="F515" s="545">
        <f>+F516</f>
        <v>20487.900000000001</v>
      </c>
      <c r="G515" s="507">
        <f>+G516</f>
        <v>40198.5</v>
      </c>
      <c r="H515" s="507">
        <f>+H516</f>
        <v>40198.5</v>
      </c>
      <c r="I515" s="507">
        <f>+I516</f>
        <v>40198.5</v>
      </c>
      <c r="J515" s="507">
        <f>+J516</f>
        <v>40198.5</v>
      </c>
    </row>
    <row r="516" spans="1:10" s="387" customFormat="1" hidden="1">
      <c r="A516" s="395"/>
      <c r="B516" s="396"/>
      <c r="C516" s="385"/>
      <c r="D516" s="385">
        <v>4729</v>
      </c>
      <c r="E516" s="385" t="s">
        <v>1125</v>
      </c>
      <c r="F516" s="389">
        <v>20487.900000000001</v>
      </c>
      <c r="G516" s="501">
        <v>40198.5</v>
      </c>
      <c r="H516" s="501">
        <v>40198.5</v>
      </c>
      <c r="I516" s="501">
        <v>40198.5</v>
      </c>
      <c r="J516" s="501">
        <v>40198.5</v>
      </c>
    </row>
    <row r="517" spans="1:10" hidden="1">
      <c r="A517" s="408"/>
      <c r="B517" s="373"/>
      <c r="C517" s="421"/>
      <c r="D517" s="421"/>
      <c r="E517" s="428" t="s">
        <v>1148</v>
      </c>
      <c r="F517" s="545">
        <f>+F518</f>
        <v>4350.03</v>
      </c>
      <c r="G517" s="507">
        <f>+G518</f>
        <v>9621.5</v>
      </c>
      <c r="H517" s="507">
        <f>+H518</f>
        <v>9621.5</v>
      </c>
      <c r="I517" s="507">
        <f>+I518</f>
        <v>9621.5</v>
      </c>
      <c r="J517" s="507">
        <f>+J518</f>
        <v>9621.5</v>
      </c>
    </row>
    <row r="518" spans="1:10" s="387" customFormat="1" hidden="1">
      <c r="A518" s="395"/>
      <c r="B518" s="396"/>
      <c r="C518" s="385"/>
      <c r="D518" s="385">
        <v>4729</v>
      </c>
      <c r="E518" s="385" t="s">
        <v>1125</v>
      </c>
      <c r="F518" s="389">
        <v>4350.03</v>
      </c>
      <c r="G518" s="501">
        <v>9621.5</v>
      </c>
      <c r="H518" s="501">
        <v>9621.5</v>
      </c>
      <c r="I518" s="501">
        <v>9621.5</v>
      </c>
      <c r="J518" s="501">
        <v>9621.5</v>
      </c>
    </row>
    <row r="519" spans="1:10" hidden="1">
      <c r="A519" s="408"/>
      <c r="B519" s="373"/>
      <c r="C519" s="421"/>
      <c r="D519" s="421"/>
      <c r="E519" s="428" t="s">
        <v>1149</v>
      </c>
      <c r="F519" s="545">
        <f>+F520</f>
        <v>3776.65</v>
      </c>
      <c r="G519" s="507">
        <f>+G520</f>
        <v>3948</v>
      </c>
      <c r="H519" s="507">
        <f>+H520</f>
        <v>6247.7</v>
      </c>
      <c r="I519" s="507">
        <f>+I520</f>
        <v>6247.7</v>
      </c>
      <c r="J519" s="507">
        <f>+J520</f>
        <v>6247.7</v>
      </c>
    </row>
    <row r="520" spans="1:10" s="387" customFormat="1" hidden="1">
      <c r="A520" s="395"/>
      <c r="B520" s="396"/>
      <c r="C520" s="385"/>
      <c r="D520" s="385">
        <v>4729</v>
      </c>
      <c r="E520" s="385" t="s">
        <v>1125</v>
      </c>
      <c r="F520" s="389">
        <v>3776.65</v>
      </c>
      <c r="G520" s="501">
        <v>3948</v>
      </c>
      <c r="H520" s="501">
        <v>6247.7</v>
      </c>
      <c r="I520" s="501">
        <v>6247.7</v>
      </c>
      <c r="J520" s="501">
        <v>6247.7</v>
      </c>
    </row>
    <row r="521" spans="1:10" hidden="1">
      <c r="A521" s="408"/>
      <c r="B521" s="373"/>
      <c r="C521" s="421"/>
      <c r="D521" s="421"/>
      <c r="E521" s="428" t="s">
        <v>1150</v>
      </c>
      <c r="F521" s="545">
        <f>+F522</f>
        <v>7008.43</v>
      </c>
      <c r="G521" s="507">
        <f>+G522</f>
        <v>7533.8</v>
      </c>
      <c r="H521" s="507">
        <f>+H522</f>
        <v>9702.4</v>
      </c>
      <c r="I521" s="507">
        <f>+I522</f>
        <v>11013.5</v>
      </c>
      <c r="J521" s="507">
        <f>+J522</f>
        <v>12324.6</v>
      </c>
    </row>
    <row r="522" spans="1:10" s="387" customFormat="1" hidden="1">
      <c r="A522" s="395"/>
      <c r="B522" s="396"/>
      <c r="C522" s="385"/>
      <c r="D522" s="385">
        <v>4729</v>
      </c>
      <c r="E522" s="385" t="s">
        <v>1125</v>
      </c>
      <c r="F522" s="389">
        <v>7008.43</v>
      </c>
      <c r="G522" s="501">
        <v>7533.8</v>
      </c>
      <c r="H522" s="501">
        <v>9702.4</v>
      </c>
      <c r="I522" s="501">
        <v>11013.5</v>
      </c>
      <c r="J522" s="501">
        <v>12324.6</v>
      </c>
    </row>
    <row r="523" spans="1:10" s="394" customFormat="1" ht="38.25" outlineLevel="1">
      <c r="A523" s="408"/>
      <c r="B523" s="373">
        <v>1146</v>
      </c>
      <c r="C523" s="421">
        <v>12008</v>
      </c>
      <c r="D523" s="421"/>
      <c r="E523" s="393" t="s">
        <v>562</v>
      </c>
      <c r="F523" s="419">
        <v>19423.11</v>
      </c>
      <c r="G523" s="509">
        <v>0</v>
      </c>
      <c r="H523" s="500">
        <v>0</v>
      </c>
      <c r="I523" s="500">
        <v>0</v>
      </c>
      <c r="J523" s="500">
        <v>0</v>
      </c>
    </row>
    <row r="524" spans="1:10" ht="38.25">
      <c r="A524" s="408"/>
      <c r="B524" s="373">
        <v>1146</v>
      </c>
      <c r="C524" s="421">
        <v>12009</v>
      </c>
      <c r="D524" s="421"/>
      <c r="E524" s="393" t="s">
        <v>563</v>
      </c>
      <c r="F524" s="419">
        <f>+F525+F528</f>
        <v>42030</v>
      </c>
      <c r="G524" s="509">
        <f>+G525+G528</f>
        <v>42510</v>
      </c>
      <c r="H524" s="509">
        <f>+H525+H528</f>
        <v>239916</v>
      </c>
      <c r="I524" s="509">
        <f>+I525+I528</f>
        <v>254316</v>
      </c>
      <c r="J524" s="509">
        <f>+J525+J528</f>
        <v>254316</v>
      </c>
    </row>
    <row r="525" spans="1:10" ht="25.5">
      <c r="A525" s="408"/>
      <c r="B525" s="373"/>
      <c r="C525" s="421"/>
      <c r="D525" s="421"/>
      <c r="E525" s="428" t="s">
        <v>1123</v>
      </c>
      <c r="F525" s="545">
        <f>+F526</f>
        <v>42030</v>
      </c>
      <c r="G525" s="507">
        <f>+G526</f>
        <v>42510</v>
      </c>
      <c r="H525" s="507">
        <f>+H526</f>
        <v>149916</v>
      </c>
      <c r="I525" s="507">
        <f>+I526</f>
        <v>164316</v>
      </c>
      <c r="J525" s="507">
        <f>+J526</f>
        <v>164316</v>
      </c>
    </row>
    <row r="526" spans="1:10" s="387" customFormat="1" ht="25.5">
      <c r="A526" s="395"/>
      <c r="B526" s="396"/>
      <c r="C526" s="385"/>
      <c r="D526" s="385">
        <v>4727</v>
      </c>
      <c r="E526" s="385" t="s">
        <v>1122</v>
      </c>
      <c r="F526" s="389">
        <v>42030</v>
      </c>
      <c r="G526" s="501">
        <v>42510</v>
      </c>
      <c r="H526" s="501">
        <f>47316+102600</f>
        <v>149916</v>
      </c>
      <c r="I526" s="501">
        <f>47316+117000</f>
        <v>164316</v>
      </c>
      <c r="J526" s="501">
        <f>47316+117000</f>
        <v>164316</v>
      </c>
    </row>
    <row r="527" spans="1:10" s="390" customFormat="1" ht="25.5" outlineLevel="1">
      <c r="A527" s="408"/>
      <c r="B527" s="427">
        <v>1146</v>
      </c>
      <c r="C527" s="415">
        <v>12010</v>
      </c>
      <c r="D527" s="415"/>
      <c r="E527" s="438" t="s">
        <v>746</v>
      </c>
      <c r="F527" s="426">
        <v>3553387.66</v>
      </c>
      <c r="G527" s="514">
        <v>0</v>
      </c>
      <c r="H527" s="522">
        <v>0</v>
      </c>
      <c r="I527" s="522">
        <v>0</v>
      </c>
      <c r="J527" s="522">
        <v>0</v>
      </c>
    </row>
    <row r="528" spans="1:10" s="394" customFormat="1" outlineLevel="1">
      <c r="A528" s="408"/>
      <c r="B528" s="427"/>
      <c r="C528" s="415"/>
      <c r="D528" s="415"/>
      <c r="E528" s="428" t="s">
        <v>1154</v>
      </c>
      <c r="F528" s="545">
        <f>+F529</f>
        <v>0</v>
      </c>
      <c r="G528" s="507">
        <f>+G529</f>
        <v>0</v>
      </c>
      <c r="H528" s="507">
        <f>+H529</f>
        <v>90000</v>
      </c>
      <c r="I528" s="507">
        <f>+I529</f>
        <v>90000</v>
      </c>
      <c r="J528" s="507">
        <f>+J529</f>
        <v>90000</v>
      </c>
    </row>
    <row r="529" spans="1:10" s="394" customFormat="1" ht="25.5" outlineLevel="1">
      <c r="A529" s="408"/>
      <c r="B529" s="427"/>
      <c r="C529" s="415"/>
      <c r="D529" s="385">
        <v>4727</v>
      </c>
      <c r="E529" s="385" t="s">
        <v>1122</v>
      </c>
      <c r="F529" s="389">
        <v>0</v>
      </c>
      <c r="G529" s="501">
        <v>0</v>
      </c>
      <c r="H529" s="501">
        <v>90000</v>
      </c>
      <c r="I529" s="501">
        <v>90000</v>
      </c>
      <c r="J529" s="501">
        <v>90000</v>
      </c>
    </row>
    <row r="530" spans="1:10" ht="38.25">
      <c r="A530" s="408"/>
      <c r="B530" s="373">
        <v>1146</v>
      </c>
      <c r="C530" s="421">
        <v>12012</v>
      </c>
      <c r="D530" s="421"/>
      <c r="E530" s="393" t="s">
        <v>565</v>
      </c>
      <c r="F530" s="419">
        <f>+F531</f>
        <v>11000</v>
      </c>
      <c r="G530" s="509">
        <f>+G531</f>
        <v>11000</v>
      </c>
      <c r="H530" s="509">
        <f>+H531</f>
        <v>11000</v>
      </c>
      <c r="I530" s="509">
        <f>+I531</f>
        <v>11000</v>
      </c>
      <c r="J530" s="509">
        <f>+J531</f>
        <v>11000</v>
      </c>
    </row>
    <row r="531" spans="1:10" s="387" customFormat="1" ht="25.5">
      <c r="A531" s="395"/>
      <c r="B531" s="396"/>
      <c r="C531" s="385"/>
      <c r="D531" s="385">
        <v>4727</v>
      </c>
      <c r="E531" s="385" t="s">
        <v>1122</v>
      </c>
      <c r="F531" s="389">
        <v>11000</v>
      </c>
      <c r="G531" s="501">
        <v>11000</v>
      </c>
      <c r="H531" s="501">
        <v>11000</v>
      </c>
      <c r="I531" s="501">
        <v>11000</v>
      </c>
      <c r="J531" s="501">
        <v>11000</v>
      </c>
    </row>
    <row r="532" spans="1:10" s="394" customFormat="1" ht="38.25" outlineLevel="1">
      <c r="A532" s="408"/>
      <c r="B532" s="373">
        <v>1146</v>
      </c>
      <c r="C532" s="421">
        <v>12013</v>
      </c>
      <c r="D532" s="421"/>
      <c r="E532" s="393" t="s">
        <v>566</v>
      </c>
      <c r="F532" s="419">
        <v>783211.06</v>
      </c>
      <c r="G532" s="509">
        <v>0</v>
      </c>
      <c r="H532" s="500">
        <v>0</v>
      </c>
      <c r="I532" s="500">
        <v>0</v>
      </c>
      <c r="J532" s="500">
        <v>0</v>
      </c>
    </row>
    <row r="533" spans="1:10" ht="63.75">
      <c r="A533" s="408"/>
      <c r="B533" s="373">
        <v>1146</v>
      </c>
      <c r="C533" s="421">
        <v>12015</v>
      </c>
      <c r="D533" s="421"/>
      <c r="E533" s="393" t="s">
        <v>567</v>
      </c>
      <c r="F533" s="419">
        <f>SUM(F534,F536,F538,F540,F542,F544,F546,F548,F550,F552,F554,F556,F558)</f>
        <v>614957.32999999996</v>
      </c>
      <c r="G533" s="509">
        <f>SUM(G534,G536,G538,G540,G542,G544,G546,G548,G550,G552,G554,G556,G558)</f>
        <v>1745702.7000000002</v>
      </c>
      <c r="H533" s="509">
        <f>SUM(H534,H536,H538,H540,H542,H544,H546,H548,H550,H552,H554,H556,H558)</f>
        <v>1770093.2</v>
      </c>
      <c r="I533" s="509">
        <f>SUM(I534,I536,I538,I540,I542,I544,I546,I548,I550,I552,I554,I556,I558)</f>
        <v>1795930.0000000002</v>
      </c>
      <c r="J533" s="509">
        <f>SUM(J534,J536,J538,J540,J542,J544,J546,J548,J550,J552,J554,J556,J558)</f>
        <v>1816242.3</v>
      </c>
    </row>
    <row r="534" spans="1:10" ht="25.5" hidden="1">
      <c r="A534" s="408"/>
      <c r="B534" s="373"/>
      <c r="C534" s="421"/>
      <c r="D534" s="421"/>
      <c r="E534" s="428" t="s">
        <v>1140</v>
      </c>
      <c r="F534" s="545">
        <f>+F535</f>
        <v>93141.6</v>
      </c>
      <c r="G534" s="507">
        <f>+G535</f>
        <v>399683.6</v>
      </c>
      <c r="H534" s="507">
        <f>+H535</f>
        <v>37662.199999999997</v>
      </c>
      <c r="I534" s="507">
        <f>+I535</f>
        <v>37662.199999999997</v>
      </c>
      <c r="J534" s="507">
        <f>+J535</f>
        <v>37662.199999999997</v>
      </c>
    </row>
    <row r="535" spans="1:10" s="387" customFormat="1" hidden="1">
      <c r="A535" s="395"/>
      <c r="B535" s="396"/>
      <c r="C535" s="385"/>
      <c r="D535" s="385">
        <v>4729</v>
      </c>
      <c r="E535" s="385" t="s">
        <v>1125</v>
      </c>
      <c r="F535" s="389">
        <v>93141.6</v>
      </c>
      <c r="G535" s="501">
        <v>399683.6</v>
      </c>
      <c r="H535" s="501">
        <v>37662.199999999997</v>
      </c>
      <c r="I535" s="501">
        <v>37662.199999999997</v>
      </c>
      <c r="J535" s="501">
        <v>37662.199999999997</v>
      </c>
    </row>
    <row r="536" spans="1:10" ht="25.5" hidden="1">
      <c r="A536" s="408"/>
      <c r="B536" s="373"/>
      <c r="C536" s="421"/>
      <c r="D536" s="421"/>
      <c r="E536" s="428" t="s">
        <v>1123</v>
      </c>
      <c r="F536" s="545">
        <f>+F537</f>
        <v>96249.02</v>
      </c>
      <c r="G536" s="507">
        <f>+G537</f>
        <v>89012.5</v>
      </c>
      <c r="H536" s="507">
        <f>+H537</f>
        <v>334688.40000000002</v>
      </c>
      <c r="I536" s="507">
        <f>+I537</f>
        <v>334688.40000000002</v>
      </c>
      <c r="J536" s="507">
        <f>+J537</f>
        <v>334688.40000000002</v>
      </c>
    </row>
    <row r="537" spans="1:10" s="387" customFormat="1" hidden="1">
      <c r="A537" s="395"/>
      <c r="B537" s="396"/>
      <c r="C537" s="385"/>
      <c r="D537" s="385">
        <v>4729</v>
      </c>
      <c r="E537" s="385" t="s">
        <v>1125</v>
      </c>
      <c r="F537" s="389">
        <v>96249.02</v>
      </c>
      <c r="G537" s="501">
        <v>89012.5</v>
      </c>
      <c r="H537" s="501">
        <v>334688.40000000002</v>
      </c>
      <c r="I537" s="501">
        <v>334688.40000000002</v>
      </c>
      <c r="J537" s="501">
        <v>334688.40000000002</v>
      </c>
    </row>
    <row r="538" spans="1:10" hidden="1">
      <c r="A538" s="408"/>
      <c r="B538" s="373"/>
      <c r="C538" s="421"/>
      <c r="D538" s="421"/>
      <c r="E538" s="428" t="s">
        <v>1154</v>
      </c>
      <c r="F538" s="545">
        <f>+F539</f>
        <v>0</v>
      </c>
      <c r="G538" s="507">
        <f>+G539</f>
        <v>359.4</v>
      </c>
      <c r="H538" s="507">
        <f>+H539</f>
        <v>1200</v>
      </c>
      <c r="I538" s="507">
        <f>+I539</f>
        <v>1200</v>
      </c>
      <c r="J538" s="507">
        <f>+J539</f>
        <v>1200</v>
      </c>
    </row>
    <row r="539" spans="1:10" s="387" customFormat="1" hidden="1">
      <c r="A539" s="395"/>
      <c r="B539" s="396"/>
      <c r="C539" s="385"/>
      <c r="D539" s="385">
        <v>4729</v>
      </c>
      <c r="E539" s="385" t="s">
        <v>1125</v>
      </c>
      <c r="F539" s="389">
        <v>0</v>
      </c>
      <c r="G539" s="501">
        <v>359.4</v>
      </c>
      <c r="H539" s="501">
        <v>1200</v>
      </c>
      <c r="I539" s="501">
        <v>1200</v>
      </c>
      <c r="J539" s="501">
        <v>1200</v>
      </c>
    </row>
    <row r="540" spans="1:10" hidden="1">
      <c r="A540" s="408"/>
      <c r="B540" s="373"/>
      <c r="C540" s="421"/>
      <c r="D540" s="421"/>
      <c r="E540" s="428" t="s">
        <v>1141</v>
      </c>
      <c r="F540" s="545">
        <f>+F541</f>
        <v>39395.800000000003</v>
      </c>
      <c r="G540" s="507">
        <f>+G541</f>
        <v>116938</v>
      </c>
      <c r="H540" s="507">
        <f>+H541</f>
        <v>116938</v>
      </c>
      <c r="I540" s="507">
        <f>+I541</f>
        <v>116938</v>
      </c>
      <c r="J540" s="507">
        <f>+J541</f>
        <v>116938</v>
      </c>
    </row>
    <row r="541" spans="1:10" s="387" customFormat="1" hidden="1">
      <c r="A541" s="395"/>
      <c r="B541" s="396"/>
      <c r="C541" s="385"/>
      <c r="D541" s="385">
        <v>4729</v>
      </c>
      <c r="E541" s="385" t="s">
        <v>1125</v>
      </c>
      <c r="F541" s="389">
        <v>39395.800000000003</v>
      </c>
      <c r="G541" s="501">
        <v>116938</v>
      </c>
      <c r="H541" s="501">
        <v>116938</v>
      </c>
      <c r="I541" s="501">
        <v>116938</v>
      </c>
      <c r="J541" s="501">
        <v>116938</v>
      </c>
    </row>
    <row r="542" spans="1:10" hidden="1">
      <c r="A542" s="408"/>
      <c r="B542" s="373"/>
      <c r="C542" s="421"/>
      <c r="D542" s="421"/>
      <c r="E542" s="428" t="s">
        <v>1142</v>
      </c>
      <c r="F542" s="545">
        <f>+F543</f>
        <v>53275.55</v>
      </c>
      <c r="G542" s="507">
        <f>+G543</f>
        <v>158826.20000000001</v>
      </c>
      <c r="H542" s="507">
        <f>+H543</f>
        <v>158826.20000000001</v>
      </c>
      <c r="I542" s="507">
        <f>+I543</f>
        <v>158826.20000000001</v>
      </c>
      <c r="J542" s="507">
        <f>+J543</f>
        <v>158826.20000000001</v>
      </c>
    </row>
    <row r="543" spans="1:10" s="387" customFormat="1" hidden="1">
      <c r="A543" s="395"/>
      <c r="B543" s="396"/>
      <c r="C543" s="385"/>
      <c r="D543" s="385">
        <v>4729</v>
      </c>
      <c r="E543" s="385" t="s">
        <v>1125</v>
      </c>
      <c r="F543" s="389">
        <v>53275.55</v>
      </c>
      <c r="G543" s="501">
        <v>158826.20000000001</v>
      </c>
      <c r="H543" s="501">
        <v>158826.20000000001</v>
      </c>
      <c r="I543" s="501">
        <v>158826.20000000001</v>
      </c>
      <c r="J543" s="501">
        <v>158826.20000000001</v>
      </c>
    </row>
    <row r="544" spans="1:10" hidden="1">
      <c r="A544" s="408"/>
      <c r="B544" s="373"/>
      <c r="C544" s="421"/>
      <c r="D544" s="421"/>
      <c r="E544" s="428" t="s">
        <v>1143</v>
      </c>
      <c r="F544" s="545">
        <f>+F545</f>
        <v>46101.04</v>
      </c>
      <c r="G544" s="507">
        <f>+G545</f>
        <v>150099.5</v>
      </c>
      <c r="H544" s="507">
        <f>+H545</f>
        <v>150100.5</v>
      </c>
      <c r="I544" s="507">
        <f>+I545</f>
        <v>150101.5</v>
      </c>
      <c r="J544" s="507">
        <f>+J545</f>
        <v>150102.5</v>
      </c>
    </row>
    <row r="545" spans="1:10" s="387" customFormat="1" hidden="1">
      <c r="A545" s="395"/>
      <c r="B545" s="396"/>
      <c r="C545" s="385"/>
      <c r="D545" s="385">
        <v>4729</v>
      </c>
      <c r="E545" s="385" t="s">
        <v>1125</v>
      </c>
      <c r="F545" s="389">
        <v>46101.04</v>
      </c>
      <c r="G545" s="501">
        <v>150099.5</v>
      </c>
      <c r="H545" s="501">
        <v>150100.5</v>
      </c>
      <c r="I545" s="501">
        <v>150101.5</v>
      </c>
      <c r="J545" s="501">
        <v>150102.5</v>
      </c>
    </row>
    <row r="546" spans="1:10" hidden="1">
      <c r="A546" s="408"/>
      <c r="B546" s="373"/>
      <c r="C546" s="421"/>
      <c r="D546" s="421"/>
      <c r="E546" s="428" t="s">
        <v>1144</v>
      </c>
      <c r="F546" s="545">
        <f>+F547</f>
        <v>47135.96</v>
      </c>
      <c r="G546" s="507">
        <f>+G547</f>
        <v>139627.5</v>
      </c>
      <c r="H546" s="507">
        <f>+H547</f>
        <v>154534</v>
      </c>
      <c r="I546" s="507">
        <f>+I547</f>
        <v>154534</v>
      </c>
      <c r="J546" s="507">
        <f>+J547</f>
        <v>154534</v>
      </c>
    </row>
    <row r="547" spans="1:10" s="387" customFormat="1" hidden="1">
      <c r="A547" s="395"/>
      <c r="B547" s="396"/>
      <c r="C547" s="385"/>
      <c r="D547" s="385">
        <v>4729</v>
      </c>
      <c r="E547" s="385" t="s">
        <v>1125</v>
      </c>
      <c r="F547" s="389">
        <v>47135.96</v>
      </c>
      <c r="G547" s="501">
        <v>139627.5</v>
      </c>
      <c r="H547" s="501">
        <v>154534</v>
      </c>
      <c r="I547" s="501">
        <v>154534</v>
      </c>
      <c r="J547" s="501">
        <v>154534</v>
      </c>
    </row>
    <row r="548" spans="1:10" hidden="1">
      <c r="A548" s="408"/>
      <c r="B548" s="373"/>
      <c r="C548" s="421"/>
      <c r="D548" s="421"/>
      <c r="E548" s="428" t="s">
        <v>1145</v>
      </c>
      <c r="F548" s="545">
        <f>+F549</f>
        <v>53787.8</v>
      </c>
      <c r="G548" s="507">
        <f>+G549</f>
        <v>176279.7</v>
      </c>
      <c r="H548" s="507">
        <f>+H549</f>
        <v>176279.7</v>
      </c>
      <c r="I548" s="507">
        <f>+I549</f>
        <v>176279.7</v>
      </c>
      <c r="J548" s="507">
        <f>+J549</f>
        <v>176279.7</v>
      </c>
    </row>
    <row r="549" spans="1:10" s="387" customFormat="1" hidden="1">
      <c r="A549" s="395"/>
      <c r="B549" s="396"/>
      <c r="C549" s="385"/>
      <c r="D549" s="385">
        <v>4729</v>
      </c>
      <c r="E549" s="385" t="s">
        <v>1125</v>
      </c>
      <c r="F549" s="389">
        <v>53787.8</v>
      </c>
      <c r="G549" s="501">
        <v>176279.7</v>
      </c>
      <c r="H549" s="501">
        <v>176279.7</v>
      </c>
      <c r="I549" s="501">
        <v>176279.7</v>
      </c>
      <c r="J549" s="501">
        <v>176279.7</v>
      </c>
    </row>
    <row r="550" spans="1:10" hidden="1">
      <c r="A550" s="408"/>
      <c r="B550" s="373"/>
      <c r="C550" s="421"/>
      <c r="D550" s="421"/>
      <c r="E550" s="428" t="s">
        <v>1146</v>
      </c>
      <c r="F550" s="545">
        <f>+F551</f>
        <v>44468.76</v>
      </c>
      <c r="G550" s="507">
        <f>+G551</f>
        <v>150099.5</v>
      </c>
      <c r="H550" s="507">
        <f>+H551</f>
        <v>158099.5</v>
      </c>
      <c r="I550" s="507">
        <f>+I551</f>
        <v>164000</v>
      </c>
      <c r="J550" s="507">
        <f>+J551</f>
        <v>164000</v>
      </c>
    </row>
    <row r="551" spans="1:10" s="387" customFormat="1" hidden="1">
      <c r="A551" s="395"/>
      <c r="B551" s="396"/>
      <c r="C551" s="385"/>
      <c r="D551" s="385">
        <v>4729</v>
      </c>
      <c r="E551" s="385" t="s">
        <v>1125</v>
      </c>
      <c r="F551" s="389">
        <v>44468.76</v>
      </c>
      <c r="G551" s="501">
        <v>150099.5</v>
      </c>
      <c r="H551" s="501">
        <v>158099.5</v>
      </c>
      <c r="I551" s="501">
        <v>164000</v>
      </c>
      <c r="J551" s="501">
        <v>164000</v>
      </c>
    </row>
    <row r="552" spans="1:10" hidden="1">
      <c r="A552" s="408"/>
      <c r="B552" s="373"/>
      <c r="C552" s="421"/>
      <c r="D552" s="421"/>
      <c r="E552" s="428" t="s">
        <v>1147</v>
      </c>
      <c r="F552" s="545">
        <f>+F553</f>
        <v>56353.7</v>
      </c>
      <c r="G552" s="507">
        <f>+G553</f>
        <v>169298.3</v>
      </c>
      <c r="H552" s="507">
        <f>+H553</f>
        <v>169298.3</v>
      </c>
      <c r="I552" s="507">
        <f>+I553</f>
        <v>169298.3</v>
      </c>
      <c r="J552" s="507">
        <f>+J553</f>
        <v>169298.3</v>
      </c>
    </row>
    <row r="553" spans="1:10" s="387" customFormat="1" hidden="1">
      <c r="A553" s="395"/>
      <c r="B553" s="396"/>
      <c r="C553" s="385"/>
      <c r="D553" s="385">
        <v>4729</v>
      </c>
      <c r="E553" s="385" t="s">
        <v>1125</v>
      </c>
      <c r="F553" s="389">
        <v>56353.7</v>
      </c>
      <c r="G553" s="501">
        <v>169298.3</v>
      </c>
      <c r="H553" s="501">
        <v>169298.3</v>
      </c>
      <c r="I553" s="501">
        <v>169298.3</v>
      </c>
      <c r="J553" s="501">
        <v>169298.3</v>
      </c>
    </row>
    <row r="554" spans="1:10" hidden="1">
      <c r="A554" s="408"/>
      <c r="B554" s="373"/>
      <c r="C554" s="421"/>
      <c r="D554" s="421"/>
      <c r="E554" s="428" t="s">
        <v>1148</v>
      </c>
      <c r="F554" s="545">
        <f>+F555</f>
        <v>36450.74</v>
      </c>
      <c r="G554" s="507">
        <f>+G555</f>
        <v>104720.6</v>
      </c>
      <c r="H554" s="507">
        <f>+H555</f>
        <v>150366.39999999999</v>
      </c>
      <c r="I554" s="507">
        <f>+I555</f>
        <v>157884.29999999999</v>
      </c>
      <c r="J554" s="507">
        <f>+J555</f>
        <v>165778.20000000001</v>
      </c>
    </row>
    <row r="555" spans="1:10" s="387" customFormat="1" hidden="1">
      <c r="A555" s="395"/>
      <c r="B555" s="396"/>
      <c r="C555" s="385"/>
      <c r="D555" s="385">
        <v>4729</v>
      </c>
      <c r="E555" s="385" t="s">
        <v>1125</v>
      </c>
      <c r="F555" s="389">
        <v>36450.74</v>
      </c>
      <c r="G555" s="501">
        <v>104720.6</v>
      </c>
      <c r="H555" s="501">
        <v>150366.39999999999</v>
      </c>
      <c r="I555" s="501">
        <v>157884.29999999999</v>
      </c>
      <c r="J555" s="501">
        <v>165778.20000000001</v>
      </c>
    </row>
    <row r="556" spans="1:10" hidden="1">
      <c r="A556" s="408"/>
      <c r="B556" s="373"/>
      <c r="C556" s="421"/>
      <c r="D556" s="421"/>
      <c r="E556" s="428" t="s">
        <v>1149</v>
      </c>
      <c r="F556" s="545">
        <f>+F557</f>
        <v>14065.86</v>
      </c>
      <c r="G556" s="507">
        <f>+G557</f>
        <v>43633.599999999999</v>
      </c>
      <c r="H556" s="507">
        <f>+H557</f>
        <v>45633.599999999999</v>
      </c>
      <c r="I556" s="507">
        <f>+I557</f>
        <v>47633.599999999999</v>
      </c>
      <c r="J556" s="507">
        <f>+J557</f>
        <v>49633.599999999999</v>
      </c>
    </row>
    <row r="557" spans="1:10" s="387" customFormat="1" hidden="1">
      <c r="A557" s="395"/>
      <c r="B557" s="396"/>
      <c r="C557" s="385"/>
      <c r="D557" s="385">
        <v>4729</v>
      </c>
      <c r="E557" s="385" t="s">
        <v>1125</v>
      </c>
      <c r="F557" s="389">
        <v>14065.86</v>
      </c>
      <c r="G557" s="501">
        <v>43633.599999999999</v>
      </c>
      <c r="H557" s="501">
        <v>45633.599999999999</v>
      </c>
      <c r="I557" s="501">
        <v>47633.599999999999</v>
      </c>
      <c r="J557" s="501">
        <v>49633.599999999999</v>
      </c>
    </row>
    <row r="558" spans="1:10" hidden="1">
      <c r="A558" s="408"/>
      <c r="B558" s="373"/>
      <c r="C558" s="421"/>
      <c r="D558" s="421"/>
      <c r="E558" s="428" t="s">
        <v>1150</v>
      </c>
      <c r="F558" s="545">
        <f>+F559</f>
        <v>34531.5</v>
      </c>
      <c r="G558" s="507">
        <f>+G559</f>
        <v>47124.3</v>
      </c>
      <c r="H558" s="507">
        <f>+H559</f>
        <v>116466.4</v>
      </c>
      <c r="I558" s="507">
        <f>+I559</f>
        <v>126883.8</v>
      </c>
      <c r="J558" s="507">
        <f>+J559</f>
        <v>137301.20000000001</v>
      </c>
    </row>
    <row r="559" spans="1:10" s="387" customFormat="1" hidden="1">
      <c r="A559" s="395"/>
      <c r="B559" s="396"/>
      <c r="C559" s="385"/>
      <c r="D559" s="385">
        <v>4729</v>
      </c>
      <c r="E559" s="385" t="s">
        <v>1125</v>
      </c>
      <c r="F559" s="389">
        <v>34531.5</v>
      </c>
      <c r="G559" s="501">
        <v>47124.3</v>
      </c>
      <c r="H559" s="501">
        <v>116466.4</v>
      </c>
      <c r="I559" s="501">
        <v>126883.8</v>
      </c>
      <c r="J559" s="501">
        <v>137301.20000000001</v>
      </c>
    </row>
    <row r="560" spans="1:10" ht="51" hidden="1">
      <c r="A560" s="408"/>
      <c r="B560" s="373">
        <v>1146</v>
      </c>
      <c r="C560" s="421">
        <v>12016</v>
      </c>
      <c r="D560" s="421"/>
      <c r="E560" s="393" t="s">
        <v>568</v>
      </c>
      <c r="F560" s="419">
        <f>SUM(F561,F563,F565,F567,F569,F571,F573,F575,F577,F579,F581)</f>
        <v>468159.39999999997</v>
      </c>
      <c r="G560" s="509">
        <f>SUM(G561,G563,G565,G567,G569,G571,G573,G575,G577,G579,G581)</f>
        <v>2461500.0000000005</v>
      </c>
      <c r="H560" s="509">
        <f>SUM(H561,H563,H565,H567,H569,H571,H573,H575,H577,H579,H581)</f>
        <v>1867335.6199999999</v>
      </c>
      <c r="I560" s="509">
        <f>SUM(I561,I563,I565,I567,I569,I571,I573,I575,I577,I579,I581)</f>
        <v>1899588.7</v>
      </c>
      <c r="J560" s="509">
        <f>SUM(J561,J563,J565,J567,J569,J571,J573,J575,J577,J579,J581)</f>
        <v>1948388.7</v>
      </c>
    </row>
    <row r="561" spans="1:10" ht="25.5" hidden="1">
      <c r="A561" s="408"/>
      <c r="B561" s="373"/>
      <c r="C561" s="421"/>
      <c r="D561" s="421"/>
      <c r="E561" s="428" t="s">
        <v>1123</v>
      </c>
      <c r="F561" s="545">
        <f>+F562</f>
        <v>6780.9000000000005</v>
      </c>
      <c r="G561" s="507">
        <f>+G562</f>
        <v>644254.1</v>
      </c>
      <c r="H561" s="507">
        <f>+H562</f>
        <v>17651.599999999999</v>
      </c>
      <c r="I561" s="507">
        <f>+I562</f>
        <v>17651.599999999999</v>
      </c>
      <c r="J561" s="507">
        <f>+J562</f>
        <v>17651.599999999999</v>
      </c>
    </row>
    <row r="562" spans="1:10" s="387" customFormat="1" hidden="1">
      <c r="A562" s="395"/>
      <c r="B562" s="396"/>
      <c r="C562" s="385"/>
      <c r="D562" s="385">
        <v>4729</v>
      </c>
      <c r="E562" s="385" t="s">
        <v>1125</v>
      </c>
      <c r="F562" s="389">
        <v>6780.9000000000005</v>
      </c>
      <c r="G562" s="501">
        <v>644254.1</v>
      </c>
      <c r="H562" s="501">
        <v>17651.599999999999</v>
      </c>
      <c r="I562" s="501">
        <v>17651.599999999999</v>
      </c>
      <c r="J562" s="501">
        <v>17651.599999999999</v>
      </c>
    </row>
    <row r="563" spans="1:10" hidden="1">
      <c r="A563" s="408"/>
      <c r="B563" s="373"/>
      <c r="C563" s="421"/>
      <c r="D563" s="421"/>
      <c r="E563" s="428" t="s">
        <v>1141</v>
      </c>
      <c r="F563" s="545">
        <f>+F564</f>
        <v>96969.5</v>
      </c>
      <c r="G563" s="507">
        <f>+G564</f>
        <v>351233.3</v>
      </c>
      <c r="H563" s="507">
        <f>+H564</f>
        <v>351233.3</v>
      </c>
      <c r="I563" s="507">
        <f>+I564</f>
        <v>351233.3</v>
      </c>
      <c r="J563" s="507">
        <f>+J564</f>
        <v>351233.3</v>
      </c>
    </row>
    <row r="564" spans="1:10" s="387" customFormat="1" hidden="1">
      <c r="A564" s="395"/>
      <c r="B564" s="396"/>
      <c r="C564" s="385"/>
      <c r="D564" s="385">
        <v>4729</v>
      </c>
      <c r="E564" s="385" t="s">
        <v>1125</v>
      </c>
      <c r="F564" s="389">
        <v>96969.5</v>
      </c>
      <c r="G564" s="501">
        <v>351233.3</v>
      </c>
      <c r="H564" s="501">
        <v>351233.3</v>
      </c>
      <c r="I564" s="501">
        <v>351233.3</v>
      </c>
      <c r="J564" s="501">
        <v>351233.3</v>
      </c>
    </row>
    <row r="565" spans="1:10" hidden="1">
      <c r="A565" s="408"/>
      <c r="B565" s="373"/>
      <c r="C565" s="421"/>
      <c r="D565" s="421"/>
      <c r="E565" s="428" t="s">
        <v>1142</v>
      </c>
      <c r="F565" s="545">
        <f>+F566</f>
        <v>7585.2</v>
      </c>
      <c r="G565" s="507">
        <f>+G566</f>
        <v>31109.4</v>
      </c>
      <c r="H565" s="507">
        <f>+H566</f>
        <v>31109.4</v>
      </c>
      <c r="I565" s="507">
        <f>+I566</f>
        <v>31109.4</v>
      </c>
      <c r="J565" s="507">
        <f>+J566</f>
        <v>31109.4</v>
      </c>
    </row>
    <row r="566" spans="1:10" s="387" customFormat="1" hidden="1">
      <c r="A566" s="395"/>
      <c r="B566" s="396"/>
      <c r="C566" s="385"/>
      <c r="D566" s="385">
        <v>4729</v>
      </c>
      <c r="E566" s="385" t="s">
        <v>1125</v>
      </c>
      <c r="F566" s="389">
        <v>7585.2</v>
      </c>
      <c r="G566" s="501">
        <v>31109.4</v>
      </c>
      <c r="H566" s="501">
        <v>31109.4</v>
      </c>
      <c r="I566" s="501">
        <v>31109.4</v>
      </c>
      <c r="J566" s="501">
        <v>31109.4</v>
      </c>
    </row>
    <row r="567" spans="1:10" hidden="1">
      <c r="A567" s="408"/>
      <c r="B567" s="373"/>
      <c r="C567" s="421"/>
      <c r="D567" s="421"/>
      <c r="E567" s="428" t="s">
        <v>1143</v>
      </c>
      <c r="F567" s="545">
        <f>+F568</f>
        <v>13996.210000000001</v>
      </c>
      <c r="G567" s="507">
        <f>+G568</f>
        <v>61508.2</v>
      </c>
      <c r="H567" s="507">
        <f>+H568</f>
        <v>61509.2</v>
      </c>
      <c r="I567" s="507">
        <f>+I568</f>
        <v>61510.2</v>
      </c>
      <c r="J567" s="507">
        <f>+J568</f>
        <v>61511.199999999997</v>
      </c>
    </row>
    <row r="568" spans="1:10" s="387" customFormat="1" hidden="1">
      <c r="A568" s="395"/>
      <c r="B568" s="396"/>
      <c r="C568" s="385"/>
      <c r="D568" s="385">
        <v>4729</v>
      </c>
      <c r="E568" s="385" t="s">
        <v>1125</v>
      </c>
      <c r="F568" s="389">
        <v>13996.210000000001</v>
      </c>
      <c r="G568" s="501">
        <v>61508.2</v>
      </c>
      <c r="H568" s="501">
        <v>61509.2</v>
      </c>
      <c r="I568" s="501">
        <v>61510.2</v>
      </c>
      <c r="J568" s="501">
        <v>61511.199999999997</v>
      </c>
    </row>
    <row r="569" spans="1:10" hidden="1">
      <c r="A569" s="408"/>
      <c r="B569" s="373"/>
      <c r="C569" s="421"/>
      <c r="D569" s="421"/>
      <c r="E569" s="428" t="s">
        <v>1144</v>
      </c>
      <c r="F569" s="545">
        <f>+F570</f>
        <v>30506</v>
      </c>
      <c r="G569" s="507">
        <f>+G570</f>
        <v>163768.70000000001</v>
      </c>
      <c r="H569" s="507">
        <f>+H570</f>
        <v>139884.20000000001</v>
      </c>
      <c r="I569" s="507">
        <f>+I570</f>
        <v>139884.20000000001</v>
      </c>
      <c r="J569" s="507">
        <f>+J570</f>
        <v>139884.20000000001</v>
      </c>
    </row>
    <row r="570" spans="1:10" s="387" customFormat="1" hidden="1">
      <c r="A570" s="395"/>
      <c r="B570" s="396"/>
      <c r="C570" s="385"/>
      <c r="D570" s="385">
        <v>4729</v>
      </c>
      <c r="E570" s="385" t="s">
        <v>1125</v>
      </c>
      <c r="F570" s="389">
        <v>30506</v>
      </c>
      <c r="G570" s="501">
        <v>163768.70000000001</v>
      </c>
      <c r="H570" s="501">
        <v>139884.20000000001</v>
      </c>
      <c r="I570" s="501">
        <v>139884.20000000001</v>
      </c>
      <c r="J570" s="501">
        <v>139884.20000000001</v>
      </c>
    </row>
    <row r="571" spans="1:10" hidden="1">
      <c r="A571" s="408"/>
      <c r="B571" s="373"/>
      <c r="C571" s="421"/>
      <c r="D571" s="421"/>
      <c r="E571" s="428" t="s">
        <v>1145</v>
      </c>
      <c r="F571" s="545">
        <f>+F572</f>
        <v>76044.5</v>
      </c>
      <c r="G571" s="507">
        <f>+G572</f>
        <v>280989.7</v>
      </c>
      <c r="H571" s="507">
        <f>+H572</f>
        <v>293316.7</v>
      </c>
      <c r="I571" s="507">
        <f>+I572</f>
        <v>293316.7</v>
      </c>
      <c r="J571" s="507">
        <f>+J572</f>
        <v>293316.7</v>
      </c>
    </row>
    <row r="572" spans="1:10" s="387" customFormat="1" hidden="1">
      <c r="A572" s="395"/>
      <c r="B572" s="396"/>
      <c r="C572" s="385"/>
      <c r="D572" s="385">
        <v>4729</v>
      </c>
      <c r="E572" s="385" t="s">
        <v>1125</v>
      </c>
      <c r="F572" s="389">
        <v>76044.5</v>
      </c>
      <c r="G572" s="501">
        <v>280989.7</v>
      </c>
      <c r="H572" s="501">
        <v>293316.7</v>
      </c>
      <c r="I572" s="501">
        <v>293316.7</v>
      </c>
      <c r="J572" s="501">
        <v>293316.7</v>
      </c>
    </row>
    <row r="573" spans="1:10" hidden="1">
      <c r="A573" s="408"/>
      <c r="B573" s="373"/>
      <c r="C573" s="421"/>
      <c r="D573" s="421"/>
      <c r="E573" s="428" t="s">
        <v>1146</v>
      </c>
      <c r="F573" s="545">
        <f>+F574</f>
        <v>20992.84</v>
      </c>
      <c r="G573" s="507">
        <f>+G574</f>
        <v>97638.1</v>
      </c>
      <c r="H573" s="507">
        <f>+H574</f>
        <v>81365.100000000006</v>
      </c>
      <c r="I573" s="507">
        <f>+I574</f>
        <v>81365.100000000006</v>
      </c>
      <c r="J573" s="507">
        <f>+J574</f>
        <v>81365.100000000006</v>
      </c>
    </row>
    <row r="574" spans="1:10" s="387" customFormat="1" hidden="1">
      <c r="A574" s="395"/>
      <c r="B574" s="396"/>
      <c r="C574" s="385"/>
      <c r="D574" s="385">
        <v>4729</v>
      </c>
      <c r="E574" s="385" t="s">
        <v>1125</v>
      </c>
      <c r="F574" s="389">
        <v>20992.84</v>
      </c>
      <c r="G574" s="501">
        <v>97638.1</v>
      </c>
      <c r="H574" s="501">
        <v>81365.100000000006</v>
      </c>
      <c r="I574" s="501">
        <v>81365.100000000006</v>
      </c>
      <c r="J574" s="501">
        <v>81365.100000000006</v>
      </c>
    </row>
    <row r="575" spans="1:10" hidden="1">
      <c r="A575" s="408"/>
      <c r="B575" s="373"/>
      <c r="C575" s="421"/>
      <c r="D575" s="421"/>
      <c r="E575" s="428" t="s">
        <v>1147</v>
      </c>
      <c r="F575" s="545">
        <f>+F576</f>
        <v>76938.2</v>
      </c>
      <c r="G575" s="507">
        <f>+G576</f>
        <v>311617.09999999998</v>
      </c>
      <c r="H575" s="507">
        <f>+H576</f>
        <v>311618.09999999998</v>
      </c>
      <c r="I575" s="507">
        <f>+I576</f>
        <v>311619.09999999998</v>
      </c>
      <c r="J575" s="507">
        <f>+J576</f>
        <v>311620.09999999998</v>
      </c>
    </row>
    <row r="576" spans="1:10" s="387" customFormat="1" hidden="1">
      <c r="A576" s="395"/>
      <c r="B576" s="396"/>
      <c r="C576" s="385"/>
      <c r="D576" s="385">
        <v>4729</v>
      </c>
      <c r="E576" s="385" t="s">
        <v>1125</v>
      </c>
      <c r="F576" s="389">
        <v>76938.2</v>
      </c>
      <c r="G576" s="501">
        <v>311617.09999999998</v>
      </c>
      <c r="H576" s="501">
        <v>311618.09999999998</v>
      </c>
      <c r="I576" s="501">
        <v>311619.09999999998</v>
      </c>
      <c r="J576" s="501">
        <v>311620.09999999998</v>
      </c>
    </row>
    <row r="577" spans="1:10" hidden="1">
      <c r="A577" s="408"/>
      <c r="B577" s="373"/>
      <c r="C577" s="421"/>
      <c r="D577" s="421"/>
      <c r="E577" s="428" t="s">
        <v>1148</v>
      </c>
      <c r="F577" s="545">
        <f>+F578</f>
        <v>64648.55</v>
      </c>
      <c r="G577" s="507">
        <f>+G578</f>
        <v>251164.1</v>
      </c>
      <c r="H577" s="507">
        <f>+H578</f>
        <v>301396.92</v>
      </c>
      <c r="I577" s="507">
        <f>+I578</f>
        <v>316500</v>
      </c>
      <c r="J577" s="507">
        <f>+J578</f>
        <v>348150</v>
      </c>
    </row>
    <row r="578" spans="1:10" s="387" customFormat="1" hidden="1">
      <c r="A578" s="395"/>
      <c r="B578" s="396"/>
      <c r="C578" s="385"/>
      <c r="D578" s="385">
        <v>4729</v>
      </c>
      <c r="E578" s="385" t="s">
        <v>1125</v>
      </c>
      <c r="F578" s="389">
        <v>64648.55</v>
      </c>
      <c r="G578" s="501">
        <v>251164.1</v>
      </c>
      <c r="H578" s="501">
        <v>301396.92</v>
      </c>
      <c r="I578" s="501">
        <v>316500</v>
      </c>
      <c r="J578" s="501">
        <v>348150</v>
      </c>
    </row>
    <row r="579" spans="1:10" hidden="1">
      <c r="A579" s="408"/>
      <c r="B579" s="373"/>
      <c r="C579" s="421"/>
      <c r="D579" s="421"/>
      <c r="E579" s="428" t="s">
        <v>1149</v>
      </c>
      <c r="F579" s="545">
        <f>+F580</f>
        <v>34490.6</v>
      </c>
      <c r="G579" s="507">
        <f>+G580</f>
        <v>124166.2</v>
      </c>
      <c r="H579" s="507">
        <f>+H580</f>
        <v>134200</v>
      </c>
      <c r="I579" s="507">
        <f>+I580</f>
        <v>134200</v>
      </c>
      <c r="J579" s="507">
        <f>+J580</f>
        <v>134200</v>
      </c>
    </row>
    <row r="580" spans="1:10" s="387" customFormat="1" hidden="1">
      <c r="A580" s="395"/>
      <c r="B580" s="396"/>
      <c r="C580" s="385"/>
      <c r="D580" s="385">
        <v>4729</v>
      </c>
      <c r="E580" s="385" t="s">
        <v>1125</v>
      </c>
      <c r="F580" s="389">
        <v>34490.6</v>
      </c>
      <c r="G580" s="501">
        <v>124166.2</v>
      </c>
      <c r="H580" s="501">
        <v>134200</v>
      </c>
      <c r="I580" s="501">
        <v>134200</v>
      </c>
      <c r="J580" s="501">
        <v>134200</v>
      </c>
    </row>
    <row r="581" spans="1:10" hidden="1">
      <c r="A581" s="408"/>
      <c r="B581" s="373"/>
      <c r="C581" s="421"/>
      <c r="D581" s="421"/>
      <c r="E581" s="428" t="s">
        <v>1150</v>
      </c>
      <c r="F581" s="545">
        <f>+F582</f>
        <v>39206.9</v>
      </c>
      <c r="G581" s="507">
        <f>+G582</f>
        <v>144051.1</v>
      </c>
      <c r="H581" s="507">
        <f>+H582</f>
        <v>144051.1</v>
      </c>
      <c r="I581" s="507">
        <f>+I582</f>
        <v>161199.1</v>
      </c>
      <c r="J581" s="507">
        <f>+J582</f>
        <v>178347.1</v>
      </c>
    </row>
    <row r="582" spans="1:10" s="387" customFormat="1" hidden="1">
      <c r="A582" s="395"/>
      <c r="B582" s="396"/>
      <c r="C582" s="385"/>
      <c r="D582" s="385">
        <v>4729</v>
      </c>
      <c r="E582" s="385" t="s">
        <v>1125</v>
      </c>
      <c r="F582" s="389">
        <v>39206.9</v>
      </c>
      <c r="G582" s="501">
        <v>144051.1</v>
      </c>
      <c r="H582" s="501">
        <v>144051.1</v>
      </c>
      <c r="I582" s="501">
        <v>161199.1</v>
      </c>
      <c r="J582" s="501">
        <v>178347.1</v>
      </c>
    </row>
    <row r="583" spans="1:10" ht="51">
      <c r="A583" s="408"/>
      <c r="B583" s="373">
        <v>1146</v>
      </c>
      <c r="C583" s="421">
        <v>12017</v>
      </c>
      <c r="D583" s="421"/>
      <c r="E583" s="393" t="s">
        <v>569</v>
      </c>
      <c r="F583" s="419">
        <f>+F584</f>
        <v>0</v>
      </c>
      <c r="G583" s="509">
        <f>+G584</f>
        <v>27093.8</v>
      </c>
      <c r="H583" s="509">
        <f>+H584</f>
        <v>0</v>
      </c>
      <c r="I583" s="509">
        <f>+I584</f>
        <v>0</v>
      </c>
      <c r="J583" s="509">
        <f>+J584</f>
        <v>0</v>
      </c>
    </row>
    <row r="584" spans="1:10">
      <c r="A584" s="408"/>
      <c r="B584" s="373"/>
      <c r="C584" s="421"/>
      <c r="D584" s="421"/>
      <c r="E584" s="428" t="s">
        <v>1148</v>
      </c>
      <c r="F584" s="545">
        <v>0</v>
      </c>
      <c r="G584" s="507">
        <v>27093.8</v>
      </c>
      <c r="H584" s="507">
        <v>0</v>
      </c>
      <c r="I584" s="507">
        <v>0</v>
      </c>
      <c r="J584" s="507">
        <v>0</v>
      </c>
    </row>
    <row r="585" spans="1:10" ht="25.5">
      <c r="A585" s="408"/>
      <c r="B585" s="373">
        <v>1146</v>
      </c>
      <c r="C585" s="421" t="s">
        <v>570</v>
      </c>
      <c r="D585" s="546"/>
      <c r="E585" s="393" t="s">
        <v>571</v>
      </c>
      <c r="F585" s="419">
        <f>+F586</f>
        <v>0</v>
      </c>
      <c r="G585" s="509">
        <f>+G586+G588+G590+G592+G594+G596+G598+G600+G602+G604+G606</f>
        <v>309000</v>
      </c>
      <c r="H585" s="509">
        <f>+H586+H588+H590+H592+H594+H596+H598+H600+H602+H604+H606</f>
        <v>202766.20000000004</v>
      </c>
      <c r="I585" s="509">
        <f t="shared" ref="I585:J585" si="72">+I586+I588+I590+I592+I594+I596+I598+I600+I602+I604+I606</f>
        <v>202766.20000000004</v>
      </c>
      <c r="J585" s="509">
        <f t="shared" si="72"/>
        <v>202766.20000000004</v>
      </c>
    </row>
    <row r="586" spans="1:10" s="486" customFormat="1" ht="27" hidden="1">
      <c r="A586" s="395"/>
      <c r="B586" s="396"/>
      <c r="C586" s="385"/>
      <c r="D586" s="385">
        <v>4730</v>
      </c>
      <c r="E586" s="564" t="s">
        <v>1123</v>
      </c>
      <c r="F586" s="389">
        <v>0</v>
      </c>
      <c r="G586" s="501">
        <v>309000</v>
      </c>
      <c r="H586" s="501">
        <f t="shared" ref="H586:J586" si="73">H587</f>
        <v>10440</v>
      </c>
      <c r="I586" s="501">
        <f t="shared" si="73"/>
        <v>10440</v>
      </c>
      <c r="J586" s="501">
        <f t="shared" si="73"/>
        <v>10440</v>
      </c>
    </row>
    <row r="587" spans="1:10" s="486" customFormat="1" ht="13.5" hidden="1">
      <c r="A587" s="395"/>
      <c r="B587" s="396"/>
      <c r="C587" s="385"/>
      <c r="D587" s="385"/>
      <c r="E587" s="565" t="s">
        <v>1125</v>
      </c>
      <c r="F587" s="389"/>
      <c r="G587" s="501"/>
      <c r="H587" s="566">
        <f>20*(145*30%)*12</f>
        <v>10440</v>
      </c>
      <c r="I587" s="566">
        <f t="shared" ref="I587:J587" si="74">20*(145*30%)*12</f>
        <v>10440</v>
      </c>
      <c r="J587" s="566">
        <f t="shared" si="74"/>
        <v>10440</v>
      </c>
    </row>
    <row r="588" spans="1:10" s="486" customFormat="1" ht="13.5" hidden="1">
      <c r="A588" s="395"/>
      <c r="B588" s="396"/>
      <c r="C588" s="385"/>
      <c r="D588" s="385"/>
      <c r="E588" s="564" t="s">
        <v>1141</v>
      </c>
      <c r="F588" s="389"/>
      <c r="G588" s="501"/>
      <c r="H588" s="566">
        <f t="shared" ref="H588:J588" si="75">H589</f>
        <v>12960</v>
      </c>
      <c r="I588" s="566">
        <f t="shared" si="75"/>
        <v>12960</v>
      </c>
      <c r="J588" s="566">
        <f t="shared" si="75"/>
        <v>12960</v>
      </c>
    </row>
    <row r="589" spans="1:10" s="486" customFormat="1" ht="13.5" hidden="1">
      <c r="A589" s="395"/>
      <c r="B589" s="396"/>
      <c r="C589" s="385"/>
      <c r="D589" s="385"/>
      <c r="E589" s="565" t="s">
        <v>1125</v>
      </c>
      <c r="F589" s="389"/>
      <c r="G589" s="501"/>
      <c r="H589" s="566">
        <v>12960</v>
      </c>
      <c r="I589" s="566">
        <v>12960</v>
      </c>
      <c r="J589" s="566">
        <v>12960</v>
      </c>
    </row>
    <row r="590" spans="1:10" s="486" customFormat="1" ht="13.5" hidden="1">
      <c r="A590" s="395"/>
      <c r="B590" s="396"/>
      <c r="C590" s="385"/>
      <c r="D590" s="385"/>
      <c r="E590" s="564" t="s">
        <v>1142</v>
      </c>
      <c r="F590" s="389"/>
      <c r="G590" s="501"/>
      <c r="H590" s="566">
        <f t="shared" ref="H590:J590" si="76">H591</f>
        <v>35100</v>
      </c>
      <c r="I590" s="566">
        <f t="shared" si="76"/>
        <v>35100</v>
      </c>
      <c r="J590" s="566">
        <f t="shared" si="76"/>
        <v>35100</v>
      </c>
    </row>
    <row r="591" spans="1:10" s="486" customFormat="1" ht="13.5" hidden="1">
      <c r="A591" s="395"/>
      <c r="B591" s="396"/>
      <c r="C591" s="385"/>
      <c r="D591" s="385"/>
      <c r="E591" s="565" t="s">
        <v>1125</v>
      </c>
      <c r="F591" s="389"/>
      <c r="G591" s="501"/>
      <c r="H591" s="566">
        <v>35100</v>
      </c>
      <c r="I591" s="566">
        <v>35100</v>
      </c>
      <c r="J591" s="566">
        <v>35100</v>
      </c>
    </row>
    <row r="592" spans="1:10" s="486" customFormat="1" ht="13.5" hidden="1">
      <c r="A592" s="395"/>
      <c r="B592" s="396"/>
      <c r="C592" s="385"/>
      <c r="D592" s="385"/>
      <c r="E592" s="564" t="s">
        <v>1143</v>
      </c>
      <c r="F592" s="389"/>
      <c r="G592" s="501"/>
      <c r="H592" s="566">
        <f t="shared" ref="H592:J592" si="77">H593</f>
        <v>28080</v>
      </c>
      <c r="I592" s="566">
        <f t="shared" si="77"/>
        <v>28080</v>
      </c>
      <c r="J592" s="566">
        <f t="shared" si="77"/>
        <v>28080</v>
      </c>
    </row>
    <row r="593" spans="1:10" s="486" customFormat="1" ht="13.5" hidden="1">
      <c r="A593" s="395"/>
      <c r="B593" s="396"/>
      <c r="C593" s="385"/>
      <c r="D593" s="385"/>
      <c r="E593" s="565" t="s">
        <v>1125</v>
      </c>
      <c r="F593" s="389"/>
      <c r="G593" s="501"/>
      <c r="H593" s="566">
        <v>28080</v>
      </c>
      <c r="I593" s="566">
        <v>28080</v>
      </c>
      <c r="J593" s="566">
        <v>28080</v>
      </c>
    </row>
    <row r="594" spans="1:10" s="486" customFormat="1" ht="13.5" hidden="1">
      <c r="A594" s="395"/>
      <c r="B594" s="396"/>
      <c r="C594" s="385"/>
      <c r="D594" s="385"/>
      <c r="E594" s="564" t="s">
        <v>1144</v>
      </c>
      <c r="F594" s="389"/>
      <c r="G594" s="501"/>
      <c r="H594" s="566">
        <f t="shared" ref="H594:J594" si="78">H595</f>
        <v>8313.7999999999993</v>
      </c>
      <c r="I594" s="566">
        <f t="shared" si="78"/>
        <v>8313.7999999999993</v>
      </c>
      <c r="J594" s="566">
        <f t="shared" si="78"/>
        <v>8313.7999999999993</v>
      </c>
    </row>
    <row r="595" spans="1:10" s="486" customFormat="1" ht="13.5" hidden="1">
      <c r="A595" s="395"/>
      <c r="B595" s="396"/>
      <c r="C595" s="385"/>
      <c r="D595" s="385"/>
      <c r="E595" s="565" t="s">
        <v>1125</v>
      </c>
      <c r="F595" s="389"/>
      <c r="G595" s="501"/>
      <c r="H595" s="566">
        <v>8313.7999999999993</v>
      </c>
      <c r="I595" s="566">
        <v>8313.7999999999993</v>
      </c>
      <c r="J595" s="566">
        <v>8313.7999999999993</v>
      </c>
    </row>
    <row r="596" spans="1:10" s="486" customFormat="1" ht="13.5" hidden="1">
      <c r="A596" s="395"/>
      <c r="B596" s="396"/>
      <c r="C596" s="385"/>
      <c r="D596" s="385"/>
      <c r="E596" s="564" t="s">
        <v>1145</v>
      </c>
      <c r="F596" s="389"/>
      <c r="G596" s="501"/>
      <c r="H596" s="566">
        <f t="shared" ref="H596:J596" si="79">H597</f>
        <v>27800.9</v>
      </c>
      <c r="I596" s="566">
        <f t="shared" si="79"/>
        <v>27800.9</v>
      </c>
      <c r="J596" s="566">
        <f t="shared" si="79"/>
        <v>27800.9</v>
      </c>
    </row>
    <row r="597" spans="1:10" s="486" customFormat="1" ht="13.5" hidden="1">
      <c r="A597" s="395"/>
      <c r="B597" s="396"/>
      <c r="C597" s="385"/>
      <c r="D597" s="385"/>
      <c r="E597" s="565" t="s">
        <v>1125</v>
      </c>
      <c r="F597" s="389"/>
      <c r="G597" s="501"/>
      <c r="H597" s="566">
        <v>27800.9</v>
      </c>
      <c r="I597" s="566">
        <v>27800.9</v>
      </c>
      <c r="J597" s="566">
        <v>27800.9</v>
      </c>
    </row>
    <row r="598" spans="1:10" s="486" customFormat="1" ht="13.5" hidden="1">
      <c r="A598" s="395"/>
      <c r="B598" s="396"/>
      <c r="C598" s="385"/>
      <c r="D598" s="385"/>
      <c r="E598" s="564" t="s">
        <v>1146</v>
      </c>
      <c r="F598" s="389"/>
      <c r="G598" s="501"/>
      <c r="H598" s="566">
        <f t="shared" ref="H598:J598" si="80">H599</f>
        <v>45705.599999999999</v>
      </c>
      <c r="I598" s="566">
        <f t="shared" si="80"/>
        <v>45705.599999999999</v>
      </c>
      <c r="J598" s="566">
        <f t="shared" si="80"/>
        <v>45705.599999999999</v>
      </c>
    </row>
    <row r="599" spans="1:10" s="486" customFormat="1" ht="13.5" hidden="1">
      <c r="A599" s="395"/>
      <c r="B599" s="396"/>
      <c r="C599" s="385"/>
      <c r="D599" s="385"/>
      <c r="E599" s="565" t="s">
        <v>1125</v>
      </c>
      <c r="F599" s="389"/>
      <c r="G599" s="501"/>
      <c r="H599" s="566">
        <v>45705.599999999999</v>
      </c>
      <c r="I599" s="566">
        <v>45705.599999999999</v>
      </c>
      <c r="J599" s="566">
        <v>45705.599999999999</v>
      </c>
    </row>
    <row r="600" spans="1:10" s="486" customFormat="1" ht="13.5" hidden="1">
      <c r="A600" s="395"/>
      <c r="B600" s="396"/>
      <c r="C600" s="385"/>
      <c r="D600" s="385"/>
      <c r="E600" s="564" t="s">
        <v>1147</v>
      </c>
      <c r="F600" s="389"/>
      <c r="G600" s="501"/>
      <c r="H600" s="566">
        <f t="shared" ref="H600:J600" si="81">H601</f>
        <v>7306.2</v>
      </c>
      <c r="I600" s="566">
        <f t="shared" si="81"/>
        <v>7306.2</v>
      </c>
      <c r="J600" s="566">
        <f t="shared" si="81"/>
        <v>7306.2</v>
      </c>
    </row>
    <row r="601" spans="1:10" s="486" customFormat="1" ht="13.5" hidden="1">
      <c r="A601" s="395"/>
      <c r="B601" s="396"/>
      <c r="C601" s="385"/>
      <c r="D601" s="385"/>
      <c r="E601" s="565" t="s">
        <v>1125</v>
      </c>
      <c r="F601" s="389"/>
      <c r="G601" s="501"/>
      <c r="H601" s="566">
        <v>7306.2</v>
      </c>
      <c r="I601" s="566">
        <v>7306.2</v>
      </c>
      <c r="J601" s="566">
        <v>7306.2</v>
      </c>
    </row>
    <row r="602" spans="1:10" s="486" customFormat="1" ht="13.5" hidden="1">
      <c r="A602" s="395"/>
      <c r="B602" s="396"/>
      <c r="C602" s="385"/>
      <c r="D602" s="385"/>
      <c r="E602" s="564" t="s">
        <v>1148</v>
      </c>
      <c r="F602" s="389"/>
      <c r="G602" s="501"/>
      <c r="H602" s="566">
        <f t="shared" ref="H602:J602" si="82">H603</f>
        <v>18114.099999999999</v>
      </c>
      <c r="I602" s="566">
        <f t="shared" si="82"/>
        <v>18114.099999999999</v>
      </c>
      <c r="J602" s="566">
        <f t="shared" si="82"/>
        <v>18114.099999999999</v>
      </c>
    </row>
    <row r="603" spans="1:10" s="486" customFormat="1" ht="13.5" hidden="1">
      <c r="A603" s="395"/>
      <c r="B603" s="396"/>
      <c r="C603" s="385"/>
      <c r="D603" s="385"/>
      <c r="E603" s="565" t="s">
        <v>1125</v>
      </c>
      <c r="F603" s="389"/>
      <c r="G603" s="501"/>
      <c r="H603" s="566">
        <v>18114.099999999999</v>
      </c>
      <c r="I603" s="566">
        <v>18114.099999999999</v>
      </c>
      <c r="J603" s="566">
        <v>18114.099999999999</v>
      </c>
    </row>
    <row r="604" spans="1:10" s="486" customFormat="1" ht="13.5" hidden="1">
      <c r="A604" s="395"/>
      <c r="B604" s="396"/>
      <c r="C604" s="385"/>
      <c r="D604" s="385"/>
      <c r="E604" s="564" t="s">
        <v>1149</v>
      </c>
      <c r="F604" s="389"/>
      <c r="G604" s="501"/>
      <c r="H604" s="566">
        <f t="shared" ref="H604:J604" si="83">H605</f>
        <v>5175.7</v>
      </c>
      <c r="I604" s="566">
        <f t="shared" si="83"/>
        <v>5175.7</v>
      </c>
      <c r="J604" s="566">
        <f t="shared" si="83"/>
        <v>5175.7</v>
      </c>
    </row>
    <row r="605" spans="1:10" s="486" customFormat="1" ht="13.5" hidden="1">
      <c r="A605" s="395"/>
      <c r="B605" s="396"/>
      <c r="C605" s="385"/>
      <c r="D605" s="385"/>
      <c r="E605" s="565" t="s">
        <v>1125</v>
      </c>
      <c r="F605" s="389"/>
      <c r="G605" s="501"/>
      <c r="H605" s="566">
        <v>5175.7</v>
      </c>
      <c r="I605" s="566">
        <v>5175.7</v>
      </c>
      <c r="J605" s="566">
        <v>5175.7</v>
      </c>
    </row>
    <row r="606" spans="1:10" s="486" customFormat="1" ht="13.5" hidden="1">
      <c r="A606" s="395"/>
      <c r="B606" s="396"/>
      <c r="C606" s="385"/>
      <c r="D606" s="385"/>
      <c r="E606" s="564" t="s">
        <v>1150</v>
      </c>
      <c r="F606" s="389"/>
      <c r="G606" s="501"/>
      <c r="H606" s="566">
        <f t="shared" ref="H606:J606" si="84">H607</f>
        <v>3769.9</v>
      </c>
      <c r="I606" s="566">
        <f t="shared" si="84"/>
        <v>3769.9</v>
      </c>
      <c r="J606" s="566">
        <f t="shared" si="84"/>
        <v>3769.9</v>
      </c>
    </row>
    <row r="607" spans="1:10" s="486" customFormat="1" ht="13.5" hidden="1">
      <c r="A607" s="395"/>
      <c r="B607" s="396"/>
      <c r="C607" s="385"/>
      <c r="D607" s="385"/>
      <c r="E607" s="565" t="s">
        <v>1125</v>
      </c>
      <c r="F607" s="389"/>
      <c r="G607" s="501"/>
      <c r="H607" s="566">
        <v>3769.9</v>
      </c>
      <c r="I607" s="566">
        <v>3769.9</v>
      </c>
      <c r="J607" s="566">
        <v>3769.9</v>
      </c>
    </row>
    <row r="608" spans="1:10" ht="25.5" outlineLevel="1">
      <c r="A608" s="408"/>
      <c r="B608" s="373">
        <v>1146</v>
      </c>
      <c r="C608" s="421" t="s">
        <v>413</v>
      </c>
      <c r="D608" s="421"/>
      <c r="E608" s="567" t="s">
        <v>572</v>
      </c>
      <c r="F608" s="419">
        <f>+F609</f>
        <v>0</v>
      </c>
      <c r="G608" s="509">
        <f>+G609</f>
        <v>0</v>
      </c>
      <c r="H608" s="509">
        <f>+H609</f>
        <v>1262700</v>
      </c>
      <c r="I608" s="509">
        <f>+I609</f>
        <v>1262700</v>
      </c>
      <c r="J608" s="509">
        <f>+J609</f>
        <v>1262700</v>
      </c>
    </row>
    <row r="609" spans="1:10" outlineLevel="1">
      <c r="A609" s="408"/>
      <c r="B609" s="373"/>
      <c r="C609" s="491"/>
      <c r="D609" s="389"/>
      <c r="E609" s="389"/>
      <c r="F609" s="389">
        <v>0</v>
      </c>
      <c r="G609" s="501">
        <v>0</v>
      </c>
      <c r="H609" s="501">
        <v>1262700</v>
      </c>
      <c r="I609" s="501">
        <v>1262700</v>
      </c>
      <c r="J609" s="501">
        <v>1262700</v>
      </c>
    </row>
    <row r="610" spans="1:10" s="543" customFormat="1">
      <c r="A610" s="574">
        <v>10</v>
      </c>
      <c r="B610" s="555">
        <v>1148</v>
      </c>
      <c r="C610" s="605" t="s">
        <v>573</v>
      </c>
      <c r="D610" s="606"/>
      <c r="E610" s="607"/>
      <c r="F610" s="561" t="e">
        <f>SUM(F611,F612,F618,F620,F622,F625,F626,F627,F629,F631,F633,F634,F659)</f>
        <v>#REF!</v>
      </c>
      <c r="G610" s="562" t="e">
        <f>SUM(G611,G612,G618,G620,G622,G625,G626,G627,G629,G631,G633,G634,G659)</f>
        <v>#REF!</v>
      </c>
      <c r="H610" s="562">
        <f>SUM(H611,H612,H618,H620,H622,H625,H626,H627,H629,H631,H633,H634,H659)</f>
        <v>7344421.6459999997</v>
      </c>
      <c r="I610" s="562">
        <f>SUM(I611,I612,I618,I620,I622,I625,I626,I627,I629,I631,I633,I634,I659)</f>
        <v>9603887.6099999994</v>
      </c>
      <c r="J610" s="562">
        <f>SUM(J611,J612,J618,J620,J622,J625,J626,J627,J629,J631,J633,J634,J659)</f>
        <v>10426788.946</v>
      </c>
    </row>
    <row r="611" spans="1:10">
      <c r="A611" s="408"/>
      <c r="B611" s="373">
        <v>1148</v>
      </c>
      <c r="C611" s="421">
        <v>11001</v>
      </c>
      <c r="D611" s="421"/>
      <c r="E611" s="393" t="s">
        <v>574</v>
      </c>
      <c r="F611" s="419" t="e">
        <f>SUM(#REF!,#REF!,#REF!,#REF!,#REF!,#REF!,#REF!)</f>
        <v>#REF!</v>
      </c>
      <c r="G611" s="509" t="e">
        <f>SUM(#REF!,#REF!,#REF!,#REF!,#REF!,#REF!,#REF!)</f>
        <v>#REF!</v>
      </c>
      <c r="H611" s="509">
        <v>2807316</v>
      </c>
      <c r="I611" s="509">
        <v>2807316</v>
      </c>
      <c r="J611" s="509">
        <v>2807316</v>
      </c>
    </row>
    <row r="612" spans="1:10" ht="38.25">
      <c r="A612" s="408"/>
      <c r="B612" s="373">
        <v>1148</v>
      </c>
      <c r="C612" s="421">
        <v>11005</v>
      </c>
      <c r="D612" s="421"/>
      <c r="E612" s="393" t="s">
        <v>575</v>
      </c>
      <c r="F612" s="419">
        <f>SUM(F613,F615,F617)</f>
        <v>393910.5</v>
      </c>
      <c r="G612" s="509">
        <f>SUM(G613,G615,G617)</f>
        <v>390758.40000000002</v>
      </c>
      <c r="H612" s="509">
        <f>SUM(H613,H615,H617)</f>
        <v>390758.40000000002</v>
      </c>
      <c r="I612" s="509">
        <f>SUM(I613,I615,I617)</f>
        <v>390758.40000000002</v>
      </c>
      <c r="J612" s="509">
        <f>SUM(J613,J615,J617)</f>
        <v>390758.40000000002</v>
      </c>
    </row>
    <row r="613" spans="1:10" ht="25.5">
      <c r="A613" s="408"/>
      <c r="B613" s="373"/>
      <c r="C613" s="421"/>
      <c r="D613" s="421"/>
      <c r="E613" s="428" t="s">
        <v>1140</v>
      </c>
      <c r="F613" s="545">
        <v>3600</v>
      </c>
      <c r="G613" s="507">
        <v>13440</v>
      </c>
      <c r="H613" s="507">
        <v>13440</v>
      </c>
      <c r="I613" s="507">
        <v>13440</v>
      </c>
      <c r="J613" s="507">
        <v>13440</v>
      </c>
    </row>
    <row r="614" spans="1:10" s="387" customFormat="1">
      <c r="A614" s="395"/>
      <c r="B614" s="396"/>
      <c r="C614" s="385"/>
      <c r="D614" s="385">
        <v>4639</v>
      </c>
      <c r="E614" s="385" t="s">
        <v>1119</v>
      </c>
      <c r="F614" s="389">
        <v>3600</v>
      </c>
      <c r="G614" s="501">
        <v>13440</v>
      </c>
      <c r="H614" s="501">
        <v>13440</v>
      </c>
      <c r="I614" s="501">
        <v>13440</v>
      </c>
      <c r="J614" s="501">
        <v>13440</v>
      </c>
    </row>
    <row r="615" spans="1:10" ht="25.5">
      <c r="A615" s="408"/>
      <c r="B615" s="373"/>
      <c r="C615" s="421"/>
      <c r="D615" s="421"/>
      <c r="E615" s="428" t="s">
        <v>1155</v>
      </c>
      <c r="F615" s="545">
        <v>375791.5</v>
      </c>
      <c r="G615" s="507">
        <v>377318.40000000002</v>
      </c>
      <c r="H615" s="507">
        <v>377318.40000000002</v>
      </c>
      <c r="I615" s="507">
        <v>377318.40000000002</v>
      </c>
      <c r="J615" s="507">
        <v>377318.40000000002</v>
      </c>
    </row>
    <row r="616" spans="1:10" s="387" customFormat="1">
      <c r="A616" s="395"/>
      <c r="B616" s="396"/>
      <c r="C616" s="385"/>
      <c r="D616" s="385">
        <v>4200</v>
      </c>
      <c r="E616" s="385" t="s">
        <v>1137</v>
      </c>
      <c r="F616" s="389">
        <v>375791.5</v>
      </c>
      <c r="G616" s="501">
        <v>377318.40000000002</v>
      </c>
      <c r="H616" s="501">
        <v>377318.40000000002</v>
      </c>
      <c r="I616" s="501">
        <v>377318.40000000002</v>
      </c>
      <c r="J616" s="501">
        <v>377318.40000000002</v>
      </c>
    </row>
    <row r="617" spans="1:10">
      <c r="A617" s="408"/>
      <c r="B617" s="373"/>
      <c r="C617" s="421"/>
      <c r="D617" s="421"/>
      <c r="E617" s="428" t="s">
        <v>1156</v>
      </c>
      <c r="F617" s="545">
        <v>14519</v>
      </c>
      <c r="G617" s="507">
        <v>0</v>
      </c>
      <c r="H617" s="507">
        <v>0</v>
      </c>
      <c r="I617" s="507">
        <v>0</v>
      </c>
      <c r="J617" s="507">
        <v>0</v>
      </c>
    </row>
    <row r="618" spans="1:10" ht="25.5">
      <c r="A618" s="408"/>
      <c r="B618" s="373">
        <v>1148</v>
      </c>
      <c r="C618" s="421">
        <v>11006</v>
      </c>
      <c r="D618" s="421"/>
      <c r="E618" s="393" t="s">
        <v>576</v>
      </c>
      <c r="F618" s="419">
        <f>+F619</f>
        <v>797548.58000000007</v>
      </c>
      <c r="G618" s="509">
        <f>+G619</f>
        <v>768912.9</v>
      </c>
      <c r="H618" s="509">
        <f>+H619</f>
        <v>797548.58000000007</v>
      </c>
      <c r="I618" s="509">
        <f>+I619</f>
        <v>797548.58000000007</v>
      </c>
      <c r="J618" s="509">
        <f>+J619</f>
        <v>797548.58000000007</v>
      </c>
    </row>
    <row r="619" spans="1:10" s="387" customFormat="1">
      <c r="A619" s="395"/>
      <c r="B619" s="396"/>
      <c r="C619" s="385"/>
      <c r="D619" s="385">
        <v>4639</v>
      </c>
      <c r="E619" s="385" t="s">
        <v>1119</v>
      </c>
      <c r="F619" s="389">
        <v>797548.58000000007</v>
      </c>
      <c r="G619" s="501">
        <v>768912.9</v>
      </c>
      <c r="H619" s="501">
        <v>797548.58000000007</v>
      </c>
      <c r="I619" s="501">
        <v>797548.58000000007</v>
      </c>
      <c r="J619" s="501">
        <v>797548.58000000007</v>
      </c>
    </row>
    <row r="620" spans="1:10" ht="25.5">
      <c r="A620" s="408"/>
      <c r="B620" s="373">
        <v>1148</v>
      </c>
      <c r="C620" s="421">
        <v>11007</v>
      </c>
      <c r="D620" s="421"/>
      <c r="E620" s="393" t="s">
        <v>577</v>
      </c>
      <c r="F620" s="419">
        <f>+F621</f>
        <v>0</v>
      </c>
      <c r="G620" s="509">
        <f>+G621</f>
        <v>8103.4</v>
      </c>
      <c r="H620" s="509">
        <f>+H621</f>
        <v>8103.4</v>
      </c>
      <c r="I620" s="509">
        <f>+I621</f>
        <v>8103.4</v>
      </c>
      <c r="J620" s="509">
        <f>+J621</f>
        <v>8103.4</v>
      </c>
    </row>
    <row r="621" spans="1:10" s="387" customFormat="1" ht="38.25">
      <c r="A621" s="395"/>
      <c r="B621" s="396"/>
      <c r="C621" s="385"/>
      <c r="D621" s="385">
        <v>4637</v>
      </c>
      <c r="E621" s="385" t="s">
        <v>1121</v>
      </c>
      <c r="F621" s="389">
        <v>0</v>
      </c>
      <c r="G621" s="501">
        <v>8103.4</v>
      </c>
      <c r="H621" s="501">
        <v>8103.4</v>
      </c>
      <c r="I621" s="501">
        <v>8103.4</v>
      </c>
      <c r="J621" s="501">
        <v>8103.4</v>
      </c>
    </row>
    <row r="622" spans="1:10" ht="40.5">
      <c r="A622" s="408"/>
      <c r="B622" s="373">
        <v>1148</v>
      </c>
      <c r="C622" s="421">
        <v>11008</v>
      </c>
      <c r="D622" s="421"/>
      <c r="E622" s="393" t="s">
        <v>1237</v>
      </c>
      <c r="F622" s="419">
        <f t="shared" ref="F622:J623" si="85">+F623</f>
        <v>6793</v>
      </c>
      <c r="G622" s="509">
        <f t="shared" si="85"/>
        <v>6793</v>
      </c>
      <c r="H622" s="509">
        <f t="shared" si="85"/>
        <v>6793</v>
      </c>
      <c r="I622" s="509">
        <f t="shared" si="85"/>
        <v>6793</v>
      </c>
      <c r="J622" s="509">
        <f t="shared" si="85"/>
        <v>6793</v>
      </c>
    </row>
    <row r="623" spans="1:10" ht="25.5">
      <c r="A623" s="408"/>
      <c r="B623" s="373"/>
      <c r="C623" s="421"/>
      <c r="D623" s="421"/>
      <c r="E623" s="428" t="s">
        <v>1140</v>
      </c>
      <c r="F623" s="545">
        <f t="shared" si="85"/>
        <v>6793</v>
      </c>
      <c r="G623" s="507">
        <f t="shared" si="85"/>
        <v>6793</v>
      </c>
      <c r="H623" s="507">
        <f t="shared" si="85"/>
        <v>6793</v>
      </c>
      <c r="I623" s="507">
        <f t="shared" si="85"/>
        <v>6793</v>
      </c>
      <c r="J623" s="507">
        <f t="shared" si="85"/>
        <v>6793</v>
      </c>
    </row>
    <row r="624" spans="1:10" s="387" customFormat="1" ht="25.5">
      <c r="A624" s="395"/>
      <c r="B624" s="396"/>
      <c r="C624" s="385"/>
      <c r="D624" s="385">
        <v>4511</v>
      </c>
      <c r="E624" s="385" t="s">
        <v>1151</v>
      </c>
      <c r="F624" s="389">
        <v>6793</v>
      </c>
      <c r="G624" s="501">
        <v>6793</v>
      </c>
      <c r="H624" s="501">
        <v>6793</v>
      </c>
      <c r="I624" s="501">
        <v>6793</v>
      </c>
      <c r="J624" s="501">
        <v>6793</v>
      </c>
    </row>
    <row r="625" spans="1:10" s="394" customFormat="1" ht="21.75" hidden="1" customHeight="1" outlineLevel="1">
      <c r="A625" s="408"/>
      <c r="B625" s="373">
        <v>1148</v>
      </c>
      <c r="C625" s="421">
        <v>11012</v>
      </c>
      <c r="D625" s="421"/>
      <c r="E625" s="242" t="s">
        <v>1238</v>
      </c>
      <c r="F625" s="419">
        <v>70611</v>
      </c>
      <c r="G625" s="509">
        <v>0</v>
      </c>
      <c r="H625" s="500">
        <v>0</v>
      </c>
      <c r="I625" s="500">
        <v>0</v>
      </c>
      <c r="J625" s="500">
        <v>0</v>
      </c>
    </row>
    <row r="626" spans="1:10" s="394" customFormat="1" hidden="1" outlineLevel="1">
      <c r="A626" s="408"/>
      <c r="B626" s="373">
        <v>1148</v>
      </c>
      <c r="C626" s="421">
        <v>11013</v>
      </c>
      <c r="D626" s="421"/>
      <c r="E626" s="393" t="s">
        <v>580</v>
      </c>
      <c r="F626" s="419">
        <v>32494.400000000001</v>
      </c>
      <c r="G626" s="509">
        <v>0</v>
      </c>
      <c r="H626" s="500">
        <v>0</v>
      </c>
      <c r="I626" s="500">
        <v>0</v>
      </c>
      <c r="J626" s="500">
        <v>0</v>
      </c>
    </row>
    <row r="627" spans="1:10" ht="38.25" collapsed="1">
      <c r="A627" s="408"/>
      <c r="B627" s="373">
        <v>1148</v>
      </c>
      <c r="C627" s="421">
        <v>11014</v>
      </c>
      <c r="D627" s="421"/>
      <c r="E627" s="393" t="s">
        <v>581</v>
      </c>
      <c r="F627" s="419">
        <f>+F628</f>
        <v>29589.86</v>
      </c>
      <c r="G627" s="509">
        <f>+G628</f>
        <v>29901.1</v>
      </c>
      <c r="H627" s="509">
        <f>+H628</f>
        <v>31476.2</v>
      </c>
      <c r="I627" s="509">
        <f>+I628</f>
        <v>38202.199999999997</v>
      </c>
      <c r="J627" s="509">
        <f>+J628</f>
        <v>48003.5</v>
      </c>
    </row>
    <row r="628" spans="1:10" s="387" customFormat="1">
      <c r="A628" s="395"/>
      <c r="B628" s="396"/>
      <c r="C628" s="385"/>
      <c r="D628" s="385">
        <v>4639</v>
      </c>
      <c r="E628" s="385" t="s">
        <v>1119</v>
      </c>
      <c r="F628" s="389">
        <v>29589.86</v>
      </c>
      <c r="G628" s="501">
        <v>29901.1</v>
      </c>
      <c r="H628" s="501">
        <v>31476.2</v>
      </c>
      <c r="I628" s="501">
        <v>38202.199999999997</v>
      </c>
      <c r="J628" s="501">
        <v>48003.5</v>
      </c>
    </row>
    <row r="629" spans="1:10" ht="15" customHeight="1">
      <c r="A629" s="408"/>
      <c r="B629" s="373">
        <v>1148</v>
      </c>
      <c r="C629" s="421">
        <v>11015</v>
      </c>
      <c r="D629" s="421"/>
      <c r="E629" s="393" t="s">
        <v>582</v>
      </c>
      <c r="F629" s="419">
        <f>+F630</f>
        <v>15653.26</v>
      </c>
      <c r="G629" s="509">
        <f>+G630</f>
        <v>16039.5</v>
      </c>
      <c r="H629" s="509">
        <f>+H630</f>
        <v>70865.210000000006</v>
      </c>
      <c r="I629" s="509">
        <f>+I630</f>
        <v>70865.210000000006</v>
      </c>
      <c r="J629" s="509">
        <f>+J630</f>
        <v>70865.210000000006</v>
      </c>
    </row>
    <row r="630" spans="1:10" s="387" customFormat="1" ht="38.25">
      <c r="A630" s="395"/>
      <c r="B630" s="396"/>
      <c r="C630" s="385"/>
      <c r="D630" s="385">
        <v>4637</v>
      </c>
      <c r="E630" s="385" t="s">
        <v>1121</v>
      </c>
      <c r="F630" s="389">
        <v>15653.26</v>
      </c>
      <c r="G630" s="501">
        <v>16039.5</v>
      </c>
      <c r="H630" s="501">
        <v>70865.210000000006</v>
      </c>
      <c r="I630" s="501">
        <v>70865.210000000006</v>
      </c>
      <c r="J630" s="501">
        <v>70865.210000000006</v>
      </c>
    </row>
    <row r="631" spans="1:10" ht="51">
      <c r="A631" s="408"/>
      <c r="B631" s="373">
        <v>1148</v>
      </c>
      <c r="C631" s="421">
        <v>11016</v>
      </c>
      <c r="D631" s="421"/>
      <c r="E631" s="393" t="s">
        <v>584</v>
      </c>
      <c r="F631" s="419">
        <f>+F632</f>
        <v>50714.6</v>
      </c>
      <c r="G631" s="509">
        <f>+G632</f>
        <v>107957.9</v>
      </c>
      <c r="H631" s="509">
        <f>+H632</f>
        <v>1731208.3</v>
      </c>
      <c r="I631" s="509">
        <f>+I632</f>
        <v>3108012.5</v>
      </c>
      <c r="J631" s="509">
        <f>+J632</f>
        <v>3093219.4</v>
      </c>
    </row>
    <row r="632" spans="1:10" s="387" customFormat="1" ht="38.25">
      <c r="A632" s="395"/>
      <c r="B632" s="396"/>
      <c r="C632" s="385"/>
      <c r="D632" s="385">
        <v>4637</v>
      </c>
      <c r="E632" s="385" t="s">
        <v>1121</v>
      </c>
      <c r="F632" s="389">
        <v>50714.6</v>
      </c>
      <c r="G632" s="501">
        <v>107957.9</v>
      </c>
      <c r="H632" s="501">
        <v>1731208.3</v>
      </c>
      <c r="I632" s="501">
        <v>3108012.5</v>
      </c>
      <c r="J632" s="501">
        <v>3093219.4</v>
      </c>
    </row>
    <row r="633" spans="1:10" s="394" customFormat="1" ht="25.5" hidden="1" outlineLevel="1">
      <c r="A633" s="408"/>
      <c r="B633" s="373">
        <v>1148</v>
      </c>
      <c r="C633" s="421">
        <v>12001</v>
      </c>
      <c r="D633" s="421"/>
      <c r="E633" s="393" t="s">
        <v>585</v>
      </c>
      <c r="F633" s="419">
        <v>55863</v>
      </c>
      <c r="G633" s="509">
        <v>0</v>
      </c>
      <c r="H633" s="500">
        <v>0</v>
      </c>
      <c r="I633" s="500">
        <v>0</v>
      </c>
      <c r="J633" s="500">
        <v>0</v>
      </c>
    </row>
    <row r="634" spans="1:10" ht="51" collapsed="1">
      <c r="A634" s="408"/>
      <c r="B634" s="373">
        <v>1148</v>
      </c>
      <c r="C634" s="421">
        <v>12002</v>
      </c>
      <c r="D634" s="421"/>
      <c r="E634" s="393" t="s">
        <v>586</v>
      </c>
      <c r="F634" s="419">
        <f>SUM(F635,F637,F639,F641,F643,F645,F647,F649,F651,F653,F655,F657)</f>
        <v>26854.299999999996</v>
      </c>
      <c r="G634" s="509">
        <f>SUM(G635,G637,G639,G641,G643,G645,G647,G649,G651,G653,G655,G657)</f>
        <v>132856.29999999999</v>
      </c>
      <c r="H634" s="509">
        <f>SUM(H635,H637,H639,H641,H643,H645,H647,H649,H651,H653,H655,H657)</f>
        <v>1500352.5559999999</v>
      </c>
      <c r="I634" s="509">
        <f>SUM(I635,I637,I639,I641,I643,I645,I647,I649,I651,I653,I655,I657)</f>
        <v>2376288.3199999998</v>
      </c>
      <c r="J634" s="509">
        <f>SUM(J635,J637,J639,J641,J643,J645,J647,J649,J651,J653,J655,J657)</f>
        <v>3204181.4559999998</v>
      </c>
    </row>
    <row r="635" spans="1:10" s="433" customFormat="1" ht="25.5">
      <c r="A635" s="430"/>
      <c r="B635" s="427"/>
      <c r="C635" s="432"/>
      <c r="D635" s="432"/>
      <c r="E635" s="428" t="s">
        <v>1140</v>
      </c>
      <c r="F635" s="545">
        <f>+F636</f>
        <v>5792</v>
      </c>
      <c r="G635" s="507">
        <f>+G636</f>
        <v>9248.1</v>
      </c>
      <c r="H635" s="507">
        <f>+H636</f>
        <v>365423.29124662571</v>
      </c>
      <c r="I635" s="507">
        <f>+I636</f>
        <v>573791.51773522061</v>
      </c>
      <c r="J635" s="507">
        <f>+J636</f>
        <v>771015.78771419404</v>
      </c>
    </row>
    <row r="636" spans="1:10" s="433" customFormat="1">
      <c r="A636" s="430"/>
      <c r="B636" s="427"/>
      <c r="C636" s="432"/>
      <c r="D636" s="385">
        <v>4730</v>
      </c>
      <c r="E636" s="385" t="s">
        <v>1125</v>
      </c>
      <c r="F636" s="389">
        <v>5792</v>
      </c>
      <c r="G636" s="501">
        <v>9248.1</v>
      </c>
      <c r="H636" s="501">
        <v>365423.29124662571</v>
      </c>
      <c r="I636" s="501">
        <v>573791.51773522061</v>
      </c>
      <c r="J636" s="501">
        <v>771015.78771419404</v>
      </c>
    </row>
    <row r="637" spans="1:10" s="433" customFormat="1" ht="25.5">
      <c r="A637" s="430"/>
      <c r="B637" s="427"/>
      <c r="C637" s="432"/>
      <c r="D637" s="432"/>
      <c r="E637" s="428" t="s">
        <v>1155</v>
      </c>
      <c r="F637" s="545">
        <f>+F638</f>
        <v>2280</v>
      </c>
      <c r="G637" s="507">
        <f>+G638</f>
        <v>93993.7</v>
      </c>
      <c r="H637" s="507">
        <f>+H638</f>
        <v>102171.24767852759</v>
      </c>
      <c r="I637" s="507">
        <f>+I638</f>
        <v>160265.90667776851</v>
      </c>
      <c r="J637" s="507">
        <f>+J638</f>
        <v>210463.69704581864</v>
      </c>
    </row>
    <row r="638" spans="1:10" s="436" customFormat="1">
      <c r="A638" s="434"/>
      <c r="B638" s="435"/>
      <c r="C638" s="437"/>
      <c r="D638" s="385">
        <v>4730</v>
      </c>
      <c r="E638" s="385" t="s">
        <v>1125</v>
      </c>
      <c r="F638" s="389">
        <v>2280</v>
      </c>
      <c r="G638" s="501">
        <v>93993.7</v>
      </c>
      <c r="H638" s="501">
        <v>102171.24767852759</v>
      </c>
      <c r="I638" s="501">
        <v>160265.90667776851</v>
      </c>
      <c r="J638" s="501">
        <v>210463.69704581864</v>
      </c>
    </row>
    <row r="639" spans="1:10" s="436" customFormat="1">
      <c r="A639" s="434"/>
      <c r="B639" s="435"/>
      <c r="C639" s="437"/>
      <c r="D639" s="437"/>
      <c r="E639" s="428" t="s">
        <v>1141</v>
      </c>
      <c r="F639" s="545">
        <f>F640</f>
        <v>0</v>
      </c>
      <c r="G639" s="507">
        <f>G640</f>
        <v>0</v>
      </c>
      <c r="H639" s="507">
        <f>H640</f>
        <v>62591.394974233124</v>
      </c>
      <c r="I639" s="507">
        <f>I640</f>
        <v>100908.16346378019</v>
      </c>
      <c r="J639" s="507">
        <f>J640</f>
        <v>137571.3922153156</v>
      </c>
    </row>
    <row r="640" spans="1:10" s="436" customFormat="1">
      <c r="A640" s="434"/>
      <c r="B640" s="435"/>
      <c r="C640" s="437"/>
      <c r="D640" s="385">
        <v>4730</v>
      </c>
      <c r="E640" s="385" t="s">
        <v>1125</v>
      </c>
      <c r="F640" s="389">
        <v>0</v>
      </c>
      <c r="G640" s="501">
        <v>0</v>
      </c>
      <c r="H640" s="501">
        <v>62591.394974233124</v>
      </c>
      <c r="I640" s="501">
        <v>100908.16346378019</v>
      </c>
      <c r="J640" s="501">
        <v>137571.3922153156</v>
      </c>
    </row>
    <row r="641" spans="1:10" s="433" customFormat="1">
      <c r="A641" s="430"/>
      <c r="B641" s="427"/>
      <c r="C641" s="432"/>
      <c r="D641" s="432"/>
      <c r="E641" s="428" t="s">
        <v>1142</v>
      </c>
      <c r="F641" s="545">
        <f>+F642</f>
        <v>1450.8</v>
      </c>
      <c r="G641" s="507">
        <f>+G642</f>
        <v>1692.6</v>
      </c>
      <c r="H641" s="507">
        <f>+H642</f>
        <v>107694.01782331288</v>
      </c>
      <c r="I641" s="507">
        <f>+I642</f>
        <v>171148.15960033305</v>
      </c>
      <c r="J641" s="507">
        <f>+J642</f>
        <v>230996.7406600448</v>
      </c>
    </row>
    <row r="642" spans="1:10" s="436" customFormat="1">
      <c r="A642" s="434"/>
      <c r="B642" s="435"/>
      <c r="C642" s="437"/>
      <c r="D642" s="385">
        <v>4730</v>
      </c>
      <c r="E642" s="385" t="s">
        <v>1125</v>
      </c>
      <c r="F642" s="389">
        <v>1450.8</v>
      </c>
      <c r="G642" s="501">
        <v>1692.6</v>
      </c>
      <c r="H642" s="501">
        <v>107694.01782331288</v>
      </c>
      <c r="I642" s="501">
        <v>171148.15960033305</v>
      </c>
      <c r="J642" s="501">
        <v>230996.7406600448</v>
      </c>
    </row>
    <row r="643" spans="1:10" s="433" customFormat="1">
      <c r="A643" s="430"/>
      <c r="B643" s="427"/>
      <c r="C643" s="432"/>
      <c r="D643" s="432"/>
      <c r="E643" s="428" t="s">
        <v>1143</v>
      </c>
      <c r="F643" s="545">
        <f>+F644</f>
        <v>1925.5</v>
      </c>
      <c r="G643" s="507">
        <f>+G644</f>
        <v>2978.3</v>
      </c>
      <c r="H643" s="507">
        <f>+H644</f>
        <v>92966.630770552147</v>
      </c>
      <c r="I643" s="507">
        <f>+I644</f>
        <v>149383.653755204</v>
      </c>
      <c r="J643" s="507">
        <f>+J644</f>
        <v>202250.47960012816</v>
      </c>
    </row>
    <row r="644" spans="1:10" s="436" customFormat="1">
      <c r="A644" s="434"/>
      <c r="B644" s="435"/>
      <c r="C644" s="437"/>
      <c r="D644" s="385">
        <v>4730</v>
      </c>
      <c r="E644" s="385" t="s">
        <v>1125</v>
      </c>
      <c r="F644" s="389">
        <v>1925.5</v>
      </c>
      <c r="G644" s="501">
        <v>2978.3</v>
      </c>
      <c r="H644" s="501">
        <v>92966.630770552147</v>
      </c>
      <c r="I644" s="501">
        <v>149383.653755204</v>
      </c>
      <c r="J644" s="501">
        <v>202250.47960012816</v>
      </c>
    </row>
    <row r="645" spans="1:10" s="433" customFormat="1">
      <c r="A645" s="430"/>
      <c r="B645" s="427"/>
      <c r="C645" s="432"/>
      <c r="D645" s="432"/>
      <c r="E645" s="428" t="s">
        <v>1144</v>
      </c>
      <c r="F645" s="545">
        <f>+F646</f>
        <v>913.5</v>
      </c>
      <c r="G645" s="507">
        <f>+G646</f>
        <v>1370.3</v>
      </c>
      <c r="H645" s="507">
        <f>+H646</f>
        <v>98489.400915337406</v>
      </c>
      <c r="I645" s="507">
        <f>+I646</f>
        <v>157298.0195170691</v>
      </c>
      <c r="J645" s="507">
        <f>+J646</f>
        <v>213543.65358795255</v>
      </c>
    </row>
    <row r="646" spans="1:10" s="436" customFormat="1">
      <c r="A646" s="434"/>
      <c r="B646" s="435"/>
      <c r="C646" s="437"/>
      <c r="D646" s="385">
        <v>4730</v>
      </c>
      <c r="E646" s="385" t="s">
        <v>1125</v>
      </c>
      <c r="F646" s="389">
        <v>913.5</v>
      </c>
      <c r="G646" s="501">
        <v>1370.3</v>
      </c>
      <c r="H646" s="501">
        <v>98489.400915337406</v>
      </c>
      <c r="I646" s="501">
        <v>157298.0195170691</v>
      </c>
      <c r="J646" s="501">
        <v>213543.65358795255</v>
      </c>
    </row>
    <row r="647" spans="1:10" s="433" customFormat="1">
      <c r="A647" s="430"/>
      <c r="B647" s="427"/>
      <c r="C647" s="432"/>
      <c r="D647" s="432"/>
      <c r="E647" s="428" t="s">
        <v>1145</v>
      </c>
      <c r="F647" s="545">
        <f>+F648</f>
        <v>4212.8999999999996</v>
      </c>
      <c r="G647" s="507">
        <f>+G648</f>
        <v>6240.9</v>
      </c>
      <c r="H647" s="507">
        <f>+H648</f>
        <v>150035.25559999997</v>
      </c>
      <c r="I647" s="507">
        <f>+I648</f>
        <v>237430.97285595338</v>
      </c>
      <c r="J647" s="507">
        <f>+J648</f>
        <v>321342.13256264018</v>
      </c>
    </row>
    <row r="648" spans="1:10" s="436" customFormat="1">
      <c r="A648" s="434"/>
      <c r="B648" s="435"/>
      <c r="C648" s="437"/>
      <c r="D648" s="385">
        <v>4730</v>
      </c>
      <c r="E648" s="385" t="s">
        <v>1125</v>
      </c>
      <c r="F648" s="389">
        <v>4212.8999999999996</v>
      </c>
      <c r="G648" s="501">
        <v>6240.9</v>
      </c>
      <c r="H648" s="501">
        <v>150035.25559999997</v>
      </c>
      <c r="I648" s="501">
        <v>237430.97285595338</v>
      </c>
      <c r="J648" s="501">
        <v>321342.13256264018</v>
      </c>
    </row>
    <row r="649" spans="1:10" s="433" customFormat="1">
      <c r="A649" s="430"/>
      <c r="B649" s="427"/>
      <c r="C649" s="432"/>
      <c r="D649" s="432"/>
      <c r="E649" s="428" t="s">
        <v>1146</v>
      </c>
      <c r="F649" s="545">
        <f>+F650</f>
        <v>3455.2000000000003</v>
      </c>
      <c r="G649" s="507">
        <f>+G650</f>
        <v>6390.5</v>
      </c>
      <c r="H649" s="507">
        <f>+H650</f>
        <v>125182.78994846625</v>
      </c>
      <c r="I649" s="507">
        <f>+I650</f>
        <v>196869.84832639463</v>
      </c>
      <c r="J649" s="507">
        <f>+J650</f>
        <v>264876.26262351807</v>
      </c>
    </row>
    <row r="650" spans="1:10" s="436" customFormat="1">
      <c r="A650" s="434"/>
      <c r="B650" s="435"/>
      <c r="C650" s="437"/>
      <c r="D650" s="385">
        <v>4730</v>
      </c>
      <c r="E650" s="385" t="s">
        <v>1125</v>
      </c>
      <c r="F650" s="389">
        <v>3455.2000000000003</v>
      </c>
      <c r="G650" s="501">
        <v>6390.5</v>
      </c>
      <c r="H650" s="501">
        <v>125182.78994846625</v>
      </c>
      <c r="I650" s="501">
        <v>196869.84832639463</v>
      </c>
      <c r="J650" s="501">
        <v>264876.26262351807</v>
      </c>
    </row>
    <row r="651" spans="1:10" s="433" customFormat="1">
      <c r="A651" s="430"/>
      <c r="B651" s="427"/>
      <c r="C651" s="432"/>
      <c r="D651" s="432"/>
      <c r="E651" s="428" t="s">
        <v>1147</v>
      </c>
      <c r="F651" s="545">
        <f>+F652</f>
        <v>3783.1</v>
      </c>
      <c r="G651" s="507">
        <f>+G652</f>
        <v>5674.7</v>
      </c>
      <c r="H651" s="507">
        <f>+H652</f>
        <v>172126.3361791411</v>
      </c>
      <c r="I651" s="507">
        <f>+I652</f>
        <v>273045.61878434638</v>
      </c>
      <c r="J651" s="507">
        <f>+J652</f>
        <v>369594.78505607171</v>
      </c>
    </row>
    <row r="652" spans="1:10" s="436" customFormat="1">
      <c r="A652" s="434"/>
      <c r="B652" s="435"/>
      <c r="C652" s="437"/>
      <c r="D652" s="385">
        <v>4730</v>
      </c>
      <c r="E652" s="385" t="s">
        <v>1125</v>
      </c>
      <c r="F652" s="389">
        <v>3783.1</v>
      </c>
      <c r="G652" s="501">
        <v>5674.7</v>
      </c>
      <c r="H652" s="501">
        <v>172126.3361791411</v>
      </c>
      <c r="I652" s="501">
        <v>273045.61878434638</v>
      </c>
      <c r="J652" s="501">
        <v>369594.78505607171</v>
      </c>
    </row>
    <row r="653" spans="1:10" s="433" customFormat="1">
      <c r="A653" s="430"/>
      <c r="B653" s="427"/>
      <c r="C653" s="432"/>
      <c r="D653" s="432"/>
      <c r="E653" s="428" t="s">
        <v>1148</v>
      </c>
      <c r="F653" s="545">
        <f>+F654</f>
        <v>1354.1000000000001</v>
      </c>
      <c r="G653" s="507">
        <f>+G654</f>
        <v>2708.2</v>
      </c>
      <c r="H653" s="507">
        <f>+H654</f>
        <v>94807.554152147233</v>
      </c>
      <c r="I653" s="507">
        <f>+I654</f>
        <v>150372.94947543711</v>
      </c>
      <c r="J653" s="507">
        <f>+J654</f>
        <v>203277.13178083944</v>
      </c>
    </row>
    <row r="654" spans="1:10" s="436" customFormat="1">
      <c r="A654" s="434"/>
      <c r="B654" s="435"/>
      <c r="C654" s="437"/>
      <c r="D654" s="385">
        <v>4730</v>
      </c>
      <c r="E654" s="385" t="s">
        <v>1125</v>
      </c>
      <c r="F654" s="389">
        <v>1354.1000000000001</v>
      </c>
      <c r="G654" s="501">
        <v>2708.2</v>
      </c>
      <c r="H654" s="501">
        <v>94807.554152147233</v>
      </c>
      <c r="I654" s="501">
        <v>150372.94947543711</v>
      </c>
      <c r="J654" s="501">
        <v>203277.13178083944</v>
      </c>
    </row>
    <row r="655" spans="1:10" s="436" customFormat="1">
      <c r="A655" s="434"/>
      <c r="B655" s="435"/>
      <c r="C655" s="437"/>
      <c r="D655" s="437"/>
      <c r="E655" s="428" t="s">
        <v>1149</v>
      </c>
      <c r="F655" s="545">
        <f>F656</f>
        <v>0</v>
      </c>
      <c r="G655" s="507">
        <f>G656</f>
        <v>0</v>
      </c>
      <c r="H655" s="507">
        <f>H656</f>
        <v>46943.546230674845</v>
      </c>
      <c r="I655" s="507">
        <f>I656</f>
        <v>76175.770457951701</v>
      </c>
      <c r="J655" s="507">
        <f>J656</f>
        <v>103691.87025184235</v>
      </c>
    </row>
    <row r="656" spans="1:10" s="436" customFormat="1">
      <c r="A656" s="434"/>
      <c r="B656" s="435"/>
      <c r="C656" s="437"/>
      <c r="D656" s="385">
        <v>4730</v>
      </c>
      <c r="E656" s="385" t="s">
        <v>1125</v>
      </c>
      <c r="F656" s="389"/>
      <c r="G656" s="501">
        <v>0</v>
      </c>
      <c r="H656" s="501">
        <v>46943.546230674845</v>
      </c>
      <c r="I656" s="501">
        <v>76175.770457951701</v>
      </c>
      <c r="J656" s="501">
        <v>103691.87025184235</v>
      </c>
    </row>
    <row r="657" spans="1:10" s="433" customFormat="1">
      <c r="A657" s="430"/>
      <c r="B657" s="427"/>
      <c r="C657" s="432"/>
      <c r="D657" s="432"/>
      <c r="E657" s="428" t="s">
        <v>1150</v>
      </c>
      <c r="F657" s="545">
        <f>+F658</f>
        <v>1687.2</v>
      </c>
      <c r="G657" s="507">
        <f>+G658</f>
        <v>2559</v>
      </c>
      <c r="H657" s="507">
        <f>+H658</f>
        <v>81921.090480981584</v>
      </c>
      <c r="I657" s="507">
        <f>+I658</f>
        <v>129597.7393505412</v>
      </c>
      <c r="J657" s="507">
        <f>+J658</f>
        <v>175557.52290163405</v>
      </c>
    </row>
    <row r="658" spans="1:10" s="436" customFormat="1">
      <c r="A658" s="434"/>
      <c r="B658" s="435"/>
      <c r="C658" s="437"/>
      <c r="D658" s="385">
        <v>4730</v>
      </c>
      <c r="E658" s="385" t="s">
        <v>1125</v>
      </c>
      <c r="F658" s="389">
        <v>1687.2</v>
      </c>
      <c r="G658" s="501">
        <v>2559</v>
      </c>
      <c r="H658" s="501">
        <v>81921.090480981584</v>
      </c>
      <c r="I658" s="501">
        <v>129597.7393505412</v>
      </c>
      <c r="J658" s="501">
        <v>175557.52290163405</v>
      </c>
    </row>
    <row r="659" spans="1:10" s="394" customFormat="1" ht="51" hidden="1" outlineLevel="1">
      <c r="A659" s="408"/>
      <c r="B659" s="420">
        <v>1148</v>
      </c>
      <c r="C659" s="415">
        <v>32005</v>
      </c>
      <c r="D659" s="415"/>
      <c r="E659" s="438" t="s">
        <v>747</v>
      </c>
      <c r="F659" s="426">
        <v>668</v>
      </c>
      <c r="G659" s="514">
        <v>0</v>
      </c>
      <c r="H659" s="514">
        <v>0</v>
      </c>
      <c r="I659" s="514">
        <v>0</v>
      </c>
      <c r="J659" s="514">
        <v>0</v>
      </c>
    </row>
    <row r="660" spans="1:10" collapsed="1">
      <c r="A660" s="574">
        <v>11</v>
      </c>
      <c r="B660" s="555">
        <v>1162</v>
      </c>
      <c r="C660" s="605" t="s">
        <v>587</v>
      </c>
      <c r="D660" s="606"/>
      <c r="E660" s="607"/>
      <c r="F660" s="561">
        <f>SUM(F661:F678)</f>
        <v>22664765.190000001</v>
      </c>
      <c r="G660" s="562">
        <f>SUM(G661:G678)</f>
        <v>35775957.600000001</v>
      </c>
      <c r="H660" s="562">
        <f t="shared" ref="H660:J660" si="86">SUM(H661:H678)</f>
        <v>53585990.592</v>
      </c>
      <c r="I660" s="562">
        <f t="shared" si="86"/>
        <v>45367010.692000002</v>
      </c>
      <c r="J660" s="562">
        <f t="shared" si="86"/>
        <v>45668484.492000006</v>
      </c>
    </row>
    <row r="661" spans="1:10" ht="38.25">
      <c r="A661" s="408"/>
      <c r="B661" s="373">
        <v>1162</v>
      </c>
      <c r="C661" s="421">
        <v>11001</v>
      </c>
      <c r="D661" s="421"/>
      <c r="E661" s="393" t="s">
        <v>588</v>
      </c>
      <c r="F661" s="419">
        <v>262030.09</v>
      </c>
      <c r="G661" s="509">
        <v>409045.2</v>
      </c>
      <c r="H661" s="500">
        <v>551845.60000000009</v>
      </c>
      <c r="I661" s="500">
        <v>574180.6</v>
      </c>
      <c r="J661" s="500">
        <v>606057.80000000005</v>
      </c>
    </row>
    <row r="662" spans="1:10">
      <c r="A662" s="408"/>
      <c r="B662" s="373">
        <v>1162</v>
      </c>
      <c r="C662" s="421">
        <v>11002</v>
      </c>
      <c r="D662" s="421"/>
      <c r="E662" s="393" t="s">
        <v>589</v>
      </c>
      <c r="F662" s="419">
        <v>11981687.9</v>
      </c>
      <c r="G662" s="509">
        <v>13788315.699999999</v>
      </c>
      <c r="H662" s="500">
        <v>27198507.299999997</v>
      </c>
      <c r="I662" s="500">
        <v>17298507.300000001</v>
      </c>
      <c r="J662" s="500">
        <v>15998507.300000001</v>
      </c>
    </row>
    <row r="663" spans="1:10" ht="25.5">
      <c r="A663" s="408"/>
      <c r="B663" s="373">
        <v>1162</v>
      </c>
      <c r="C663" s="421">
        <v>11004</v>
      </c>
      <c r="D663" s="421"/>
      <c r="E663" s="393" t="s">
        <v>590</v>
      </c>
      <c r="F663" s="419">
        <v>908213.31</v>
      </c>
      <c r="G663" s="509">
        <v>940304.1</v>
      </c>
      <c r="H663" s="500">
        <v>962891.29999999993</v>
      </c>
      <c r="I663" s="500">
        <v>962891.29999999993</v>
      </c>
      <c r="J663" s="500">
        <v>962891.29999999993</v>
      </c>
    </row>
    <row r="664" spans="1:10" ht="25.5">
      <c r="A664" s="408"/>
      <c r="B664" s="373">
        <v>1162</v>
      </c>
      <c r="C664" s="421">
        <v>11005</v>
      </c>
      <c r="D664" s="421"/>
      <c r="E664" s="393" t="s">
        <v>591</v>
      </c>
      <c r="F664" s="419">
        <v>5932336.79</v>
      </c>
      <c r="G664" s="509">
        <v>9295722</v>
      </c>
      <c r="H664" s="500">
        <v>10598738.300000001</v>
      </c>
      <c r="I664" s="500">
        <v>10677423.4</v>
      </c>
      <c r="J664" s="500">
        <v>12247020</v>
      </c>
    </row>
    <row r="665" spans="1:10" ht="25.5">
      <c r="A665" s="408"/>
      <c r="B665" s="373">
        <v>1162</v>
      </c>
      <c r="C665" s="421">
        <v>11006</v>
      </c>
      <c r="D665" s="421"/>
      <c r="E665" s="393" t="s">
        <v>592</v>
      </c>
      <c r="F665" s="419">
        <v>135960</v>
      </c>
      <c r="G665" s="509">
        <v>152883</v>
      </c>
      <c r="H665" s="500">
        <v>305766</v>
      </c>
      <c r="I665" s="500">
        <v>305766</v>
      </c>
      <c r="J665" s="500">
        <v>305766</v>
      </c>
    </row>
    <row r="666" spans="1:10" ht="25.5">
      <c r="A666" s="408"/>
      <c r="B666" s="373">
        <v>1162</v>
      </c>
      <c r="C666" s="421">
        <v>11007</v>
      </c>
      <c r="D666" s="421"/>
      <c r="E666" s="393" t="s">
        <v>593</v>
      </c>
      <c r="F666" s="419">
        <v>79630.3</v>
      </c>
      <c r="G666" s="509">
        <v>95556.3</v>
      </c>
      <c r="H666" s="500">
        <v>95556.3</v>
      </c>
      <c r="I666" s="500">
        <v>95556.3</v>
      </c>
      <c r="J666" s="500">
        <v>95556.3</v>
      </c>
    </row>
    <row r="667" spans="1:10" ht="25.5">
      <c r="A667" s="408"/>
      <c r="B667" s="373">
        <v>1162</v>
      </c>
      <c r="C667" s="421">
        <v>11008</v>
      </c>
      <c r="D667" s="421"/>
      <c r="E667" s="393" t="s">
        <v>594</v>
      </c>
      <c r="F667" s="419">
        <v>870077.8</v>
      </c>
      <c r="G667" s="509">
        <v>948500.3</v>
      </c>
      <c r="H667" s="500">
        <v>1031865.328</v>
      </c>
      <c r="I667" s="500">
        <v>1031865.328</v>
      </c>
      <c r="J667" s="500">
        <v>1031865.328</v>
      </c>
    </row>
    <row r="668" spans="1:10">
      <c r="A668" s="408"/>
      <c r="B668" s="373">
        <v>1162</v>
      </c>
      <c r="C668" s="421">
        <v>11009</v>
      </c>
      <c r="D668" s="421"/>
      <c r="E668" s="393" t="s">
        <v>595</v>
      </c>
      <c r="F668" s="419">
        <v>228610.4</v>
      </c>
      <c r="G668" s="509">
        <v>244271.7</v>
      </c>
      <c r="H668" s="500">
        <v>257961.16399999999</v>
      </c>
      <c r="I668" s="500">
        <v>257961.16399999999</v>
      </c>
      <c r="J668" s="500">
        <v>257961.16399999999</v>
      </c>
    </row>
    <row r="669" spans="1:10">
      <c r="A669" s="408"/>
      <c r="B669" s="373">
        <v>1162</v>
      </c>
      <c r="C669" s="421">
        <v>11010</v>
      </c>
      <c r="D669" s="421"/>
      <c r="E669" s="393" t="s">
        <v>596</v>
      </c>
      <c r="F669" s="419">
        <v>45000</v>
      </c>
      <c r="G669" s="509">
        <v>45000</v>
      </c>
      <c r="H669" s="500">
        <v>45000</v>
      </c>
      <c r="I669" s="500">
        <v>45000</v>
      </c>
      <c r="J669" s="500">
        <v>45000</v>
      </c>
    </row>
    <row r="670" spans="1:10">
      <c r="A670" s="408"/>
      <c r="B670" s="373">
        <v>1162</v>
      </c>
      <c r="C670" s="421">
        <v>11012</v>
      </c>
      <c r="D670" s="421"/>
      <c r="E670" s="393" t="s">
        <v>597</v>
      </c>
      <c r="F670" s="419">
        <v>128302.6</v>
      </c>
      <c r="G670" s="509">
        <v>150630.1</v>
      </c>
      <c r="H670" s="500">
        <v>150630.1</v>
      </c>
      <c r="I670" s="500">
        <v>150630.1</v>
      </c>
      <c r="J670" s="500">
        <v>150630.1</v>
      </c>
    </row>
    <row r="671" spans="1:10" ht="25.5">
      <c r="A671" s="408"/>
      <c r="B671" s="373">
        <v>1162</v>
      </c>
      <c r="C671" s="421">
        <v>11013</v>
      </c>
      <c r="D671" s="421"/>
      <c r="E671" s="393" t="s">
        <v>598</v>
      </c>
      <c r="F671" s="419">
        <v>157421.74</v>
      </c>
      <c r="G671" s="509">
        <v>0</v>
      </c>
      <c r="H671" s="500">
        <v>0</v>
      </c>
      <c r="I671" s="500">
        <v>0</v>
      </c>
      <c r="J671" s="500">
        <v>0</v>
      </c>
    </row>
    <row r="672" spans="1:10" ht="38.25">
      <c r="A672" s="408"/>
      <c r="B672" s="373">
        <v>1162</v>
      </c>
      <c r="C672" s="421">
        <v>11018</v>
      </c>
      <c r="D672" s="421"/>
      <c r="E672" s="393" t="s">
        <v>599</v>
      </c>
      <c r="F672" s="419">
        <v>0</v>
      </c>
      <c r="G672" s="509">
        <v>173029.2</v>
      </c>
      <c r="H672" s="500">
        <v>173029.2</v>
      </c>
      <c r="I672" s="500">
        <v>173029.2</v>
      </c>
      <c r="J672" s="500">
        <v>173029.2</v>
      </c>
    </row>
    <row r="673" spans="1:10" ht="25.5">
      <c r="A673" s="408"/>
      <c r="B673" s="373">
        <v>1162</v>
      </c>
      <c r="C673" s="421">
        <v>12001</v>
      </c>
      <c r="D673" s="421"/>
      <c r="E673" s="393" t="s">
        <v>600</v>
      </c>
      <c r="F673" s="419">
        <v>769377.05</v>
      </c>
      <c r="G673" s="509">
        <v>842000</v>
      </c>
      <c r="H673" s="500">
        <v>842000</v>
      </c>
      <c r="I673" s="500">
        <v>842000</v>
      </c>
      <c r="J673" s="500">
        <v>842000</v>
      </c>
    </row>
    <row r="674" spans="1:10" ht="25.5">
      <c r="A674" s="408"/>
      <c r="B674" s="373">
        <v>1162</v>
      </c>
      <c r="C674" s="421">
        <v>12002</v>
      </c>
      <c r="D674" s="421"/>
      <c r="E674" s="393" t="s">
        <v>601</v>
      </c>
      <c r="F674" s="388">
        <v>139200</v>
      </c>
      <c r="G674" s="500">
        <v>112200</v>
      </c>
      <c r="H674" s="500">
        <v>112200</v>
      </c>
      <c r="I674" s="500">
        <v>112200</v>
      </c>
      <c r="J674" s="500">
        <v>112200</v>
      </c>
    </row>
    <row r="675" spans="1:10" ht="25.5">
      <c r="A675" s="408"/>
      <c r="B675" s="427">
        <v>1162</v>
      </c>
      <c r="C675" s="415">
        <v>31001</v>
      </c>
      <c r="D675" s="415"/>
      <c r="E675" s="438" t="s">
        <v>748</v>
      </c>
      <c r="F675" s="417">
        <v>0</v>
      </c>
      <c r="G675" s="522">
        <v>4500</v>
      </c>
      <c r="H675" s="514">
        <v>0</v>
      </c>
      <c r="I675" s="514">
        <v>0</v>
      </c>
      <c r="J675" s="514">
        <v>0</v>
      </c>
    </row>
    <row r="676" spans="1:10" ht="51">
      <c r="A676" s="408"/>
      <c r="B676" s="420">
        <v>1162</v>
      </c>
      <c r="C676" s="415">
        <v>32003</v>
      </c>
      <c r="D676" s="415"/>
      <c r="E676" s="438" t="s">
        <v>749</v>
      </c>
      <c r="F676" s="426">
        <v>86208.73</v>
      </c>
      <c r="G676" s="514">
        <v>940000</v>
      </c>
      <c r="H676" s="514">
        <v>2940000</v>
      </c>
      <c r="I676" s="514">
        <v>2940000</v>
      </c>
      <c r="J676" s="514">
        <v>2940000</v>
      </c>
    </row>
    <row r="677" spans="1:10" ht="63.75">
      <c r="A677" s="408"/>
      <c r="B677" s="420">
        <v>1162</v>
      </c>
      <c r="C677" s="415">
        <v>32004</v>
      </c>
      <c r="D677" s="415"/>
      <c r="E677" s="438" t="s">
        <v>750</v>
      </c>
      <c r="F677" s="426">
        <v>940708.48</v>
      </c>
      <c r="G677" s="514">
        <v>4200000</v>
      </c>
      <c r="H677" s="514">
        <v>8320000</v>
      </c>
      <c r="I677" s="514">
        <v>9900000</v>
      </c>
      <c r="J677" s="514">
        <v>9900000</v>
      </c>
    </row>
    <row r="678" spans="1:10" ht="25.5">
      <c r="A678" s="408"/>
      <c r="B678" s="420">
        <v>1162</v>
      </c>
      <c r="C678" s="415">
        <v>32005</v>
      </c>
      <c r="D678" s="415"/>
      <c r="E678" s="438" t="s">
        <v>751</v>
      </c>
      <c r="F678" s="426">
        <v>0</v>
      </c>
      <c r="G678" s="514">
        <v>3434000</v>
      </c>
      <c r="H678" s="514">
        <v>0</v>
      </c>
      <c r="I678" s="514">
        <v>0</v>
      </c>
      <c r="J678" s="514">
        <v>0</v>
      </c>
    </row>
    <row r="679" spans="1:10" s="543" customFormat="1">
      <c r="A679" s="574">
        <v>12</v>
      </c>
      <c r="B679" s="555">
        <v>1163</v>
      </c>
      <c r="C679" s="605" t="s">
        <v>602</v>
      </c>
      <c r="D679" s="608"/>
      <c r="E679" s="607"/>
      <c r="F679" s="404">
        <f>SUM(F680,F682,F684,F686,F688,F690,F692,F694,F696,F698,F701,F707,F710,F714)</f>
        <v>2481656.42</v>
      </c>
      <c r="G679" s="497">
        <f>SUM(G680,G682,G684,G686,G688,G690,G692,G694,G696,G698,G701,G707,G710,G714,G716,G720,G722,G724,G726,G728)</f>
        <v>3548054.1</v>
      </c>
      <c r="H679" s="497">
        <f t="shared" ref="H679:J679" si="87">SUM(H680,H682,H684,H686,H688,H690,H692,H694,H696,H698,H701,H707,H710,H714,H716,H720,H722,H724,H726,H728)</f>
        <v>4918795.1054332014</v>
      </c>
      <c r="I679" s="497">
        <f t="shared" si="87"/>
        <v>6610434.6531468015</v>
      </c>
      <c r="J679" s="497">
        <f t="shared" si="87"/>
        <v>7184574.4570000013</v>
      </c>
    </row>
    <row r="680" spans="1:10" ht="25.5">
      <c r="A680" s="408"/>
      <c r="B680" s="378">
        <v>1163</v>
      </c>
      <c r="C680" s="371">
        <v>11007</v>
      </c>
      <c r="D680" s="371"/>
      <c r="E680" s="380" t="s">
        <v>603</v>
      </c>
      <c r="F680" s="381">
        <f>+F681</f>
        <v>5000</v>
      </c>
      <c r="G680" s="498">
        <f>+G681</f>
        <v>5000</v>
      </c>
      <c r="H680" s="498">
        <f>+H681</f>
        <v>5000</v>
      </c>
      <c r="I680" s="498">
        <f>+I681</f>
        <v>5000</v>
      </c>
      <c r="J680" s="498">
        <f>+J681</f>
        <v>5000</v>
      </c>
    </row>
    <row r="681" spans="1:10" s="387" customFormat="1">
      <c r="A681" s="395"/>
      <c r="B681" s="383"/>
      <c r="C681" s="384"/>
      <c r="D681" s="385">
        <v>4639</v>
      </c>
      <c r="E681" s="385" t="s">
        <v>1119</v>
      </c>
      <c r="F681" s="386">
        <v>5000</v>
      </c>
      <c r="G681" s="499">
        <v>5000</v>
      </c>
      <c r="H681" s="499">
        <v>5000</v>
      </c>
      <c r="I681" s="499">
        <v>5000</v>
      </c>
      <c r="J681" s="499">
        <v>5000</v>
      </c>
    </row>
    <row r="682" spans="1:10" ht="38.25">
      <c r="A682" s="408"/>
      <c r="B682" s="378">
        <v>1163</v>
      </c>
      <c r="C682" s="371">
        <v>11017</v>
      </c>
      <c r="D682" s="371"/>
      <c r="E682" s="380" t="s">
        <v>604</v>
      </c>
      <c r="F682" s="381">
        <f>+F683</f>
        <v>19075.59</v>
      </c>
      <c r="G682" s="498">
        <f>+G683</f>
        <v>15500</v>
      </c>
      <c r="H682" s="498">
        <f>+H683</f>
        <v>25000</v>
      </c>
      <c r="I682" s="498">
        <f>+I683</f>
        <v>15500</v>
      </c>
      <c r="J682" s="498">
        <f>+J683</f>
        <v>25000</v>
      </c>
    </row>
    <row r="683" spans="1:10" s="387" customFormat="1">
      <c r="A683" s="395"/>
      <c r="B683" s="383"/>
      <c r="C683" s="384"/>
      <c r="D683" s="385">
        <v>4639</v>
      </c>
      <c r="E683" s="385" t="s">
        <v>1119</v>
      </c>
      <c r="F683" s="386">
        <v>19075.59</v>
      </c>
      <c r="G683" s="499">
        <v>15500</v>
      </c>
      <c r="H683" s="499">
        <v>25000</v>
      </c>
      <c r="I683" s="499">
        <v>15500</v>
      </c>
      <c r="J683" s="499">
        <v>25000</v>
      </c>
    </row>
    <row r="684" spans="1:10" ht="51">
      <c r="A684" s="408"/>
      <c r="B684" s="378">
        <v>1163</v>
      </c>
      <c r="C684" s="371">
        <v>11018</v>
      </c>
      <c r="D684" s="371"/>
      <c r="E684" s="393" t="s">
        <v>1204</v>
      </c>
      <c r="F684" s="381">
        <f>+F685</f>
        <v>21527.600000000002</v>
      </c>
      <c r="G684" s="498">
        <v>25724.2</v>
      </c>
      <c r="H684" s="498">
        <v>40013.5</v>
      </c>
      <c r="I684" s="498">
        <v>40013.5</v>
      </c>
      <c r="J684" s="498">
        <v>40013.5</v>
      </c>
    </row>
    <row r="685" spans="1:10" s="387" customFormat="1">
      <c r="A685" s="395"/>
      <c r="B685" s="383"/>
      <c r="C685" s="384"/>
      <c r="D685" s="385">
        <v>4639</v>
      </c>
      <c r="E685" s="385" t="s">
        <v>1119</v>
      </c>
      <c r="F685" s="386">
        <v>21527.600000000002</v>
      </c>
      <c r="G685" s="499">
        <v>25724.2</v>
      </c>
      <c r="H685" s="499">
        <v>40013.5</v>
      </c>
      <c r="I685" s="499">
        <v>40013.5</v>
      </c>
      <c r="J685" s="499">
        <v>40013.5</v>
      </c>
    </row>
    <row r="686" spans="1:10" ht="38.25">
      <c r="A686" s="408"/>
      <c r="B686" s="378">
        <v>1163</v>
      </c>
      <c r="C686" s="371">
        <v>11019</v>
      </c>
      <c r="D686" s="371"/>
      <c r="E686" s="393" t="s">
        <v>607</v>
      </c>
      <c r="F686" s="381">
        <f>+F687</f>
        <v>39603.370000000003</v>
      </c>
      <c r="G686" s="498">
        <f>+G687</f>
        <v>39715.9</v>
      </c>
      <c r="H686" s="498">
        <f>+H687</f>
        <v>47517.9</v>
      </c>
      <c r="I686" s="498">
        <f>+I687</f>
        <v>47517.9</v>
      </c>
      <c r="J686" s="498">
        <f>+J687</f>
        <v>47517.9</v>
      </c>
    </row>
    <row r="687" spans="1:10" s="387" customFormat="1">
      <c r="A687" s="382"/>
      <c r="B687" s="383"/>
      <c r="C687" s="384"/>
      <c r="D687" s="385">
        <v>4639</v>
      </c>
      <c r="E687" s="385" t="s">
        <v>1119</v>
      </c>
      <c r="F687" s="386">
        <v>39603.370000000003</v>
      </c>
      <c r="G687" s="499">
        <v>39715.9</v>
      </c>
      <c r="H687" s="499">
        <v>47517.9</v>
      </c>
      <c r="I687" s="499">
        <v>47517.9</v>
      </c>
      <c r="J687" s="499">
        <v>47517.9</v>
      </c>
    </row>
    <row r="688" spans="1:10" ht="25.5">
      <c r="A688" s="408"/>
      <c r="B688" s="373">
        <v>1163</v>
      </c>
      <c r="C688" s="421">
        <v>11020</v>
      </c>
      <c r="D688" s="421"/>
      <c r="E688" s="393" t="s">
        <v>609</v>
      </c>
      <c r="F688" s="388">
        <f>+F689</f>
        <v>19351.8</v>
      </c>
      <c r="G688" s="500">
        <f>+G689</f>
        <v>20155.2</v>
      </c>
      <c r="H688" s="500">
        <f>+H689</f>
        <v>20155.2</v>
      </c>
      <c r="I688" s="500">
        <f>+I689</f>
        <v>20155.2</v>
      </c>
      <c r="J688" s="500">
        <f>+J689</f>
        <v>20155.2</v>
      </c>
    </row>
    <row r="689" spans="1:10" s="387" customFormat="1">
      <c r="A689" s="395"/>
      <c r="B689" s="396"/>
      <c r="C689" s="385"/>
      <c r="D689" s="385">
        <v>4639</v>
      </c>
      <c r="E689" s="385" t="s">
        <v>1119</v>
      </c>
      <c r="F689" s="389">
        <v>19351.8</v>
      </c>
      <c r="G689" s="501">
        <v>20155.2</v>
      </c>
      <c r="H689" s="501">
        <v>20155.2</v>
      </c>
      <c r="I689" s="501">
        <v>20155.2</v>
      </c>
      <c r="J689" s="501">
        <v>20155.2</v>
      </c>
    </row>
    <row r="690" spans="1:10" ht="38.25">
      <c r="A690" s="408"/>
      <c r="B690" s="373">
        <v>1163</v>
      </c>
      <c r="C690" s="421">
        <v>11021</v>
      </c>
      <c r="D690" s="421"/>
      <c r="E690" s="393" t="s">
        <v>1205</v>
      </c>
      <c r="F690" s="388">
        <f>+F691</f>
        <v>23860.95</v>
      </c>
      <c r="G690" s="500">
        <f>+G691</f>
        <v>25196.1</v>
      </c>
      <c r="H690" s="500">
        <f>+H691</f>
        <v>48930.2</v>
      </c>
      <c r="I690" s="500">
        <f>+I691</f>
        <v>48930.2</v>
      </c>
      <c r="J690" s="500">
        <f>+J691</f>
        <v>48930.2</v>
      </c>
    </row>
    <row r="691" spans="1:10" s="387" customFormat="1">
      <c r="A691" s="395"/>
      <c r="B691" s="396"/>
      <c r="C691" s="385"/>
      <c r="D691" s="385">
        <v>4639</v>
      </c>
      <c r="E691" s="385" t="s">
        <v>1119</v>
      </c>
      <c r="F691" s="389">
        <v>23860.95</v>
      </c>
      <c r="G691" s="501">
        <v>25196.1</v>
      </c>
      <c r="H691" s="501">
        <v>48930.2</v>
      </c>
      <c r="I691" s="501">
        <v>48930.2</v>
      </c>
      <c r="J691" s="501">
        <v>48930.2</v>
      </c>
    </row>
    <row r="692" spans="1:10">
      <c r="A692" s="408"/>
      <c r="B692" s="373">
        <v>1163</v>
      </c>
      <c r="C692" s="421">
        <v>11022</v>
      </c>
      <c r="D692" s="421"/>
      <c r="E692" s="393" t="s">
        <v>611</v>
      </c>
      <c r="F692" s="388">
        <f>+F693</f>
        <v>35680</v>
      </c>
      <c r="G692" s="500">
        <f>+G693</f>
        <v>50000</v>
      </c>
      <c r="H692" s="514">
        <f>+H693</f>
        <v>56273.100000000006</v>
      </c>
      <c r="I692" s="514">
        <f>+I693</f>
        <v>56273.100000000006</v>
      </c>
      <c r="J692" s="514">
        <f>+J693</f>
        <v>56273.100000000006</v>
      </c>
    </row>
    <row r="693" spans="1:10" s="387" customFormat="1">
      <c r="A693" s="395"/>
      <c r="B693" s="396"/>
      <c r="C693" s="385"/>
      <c r="D693" s="385">
        <v>4200</v>
      </c>
      <c r="E693" s="385" t="s">
        <v>1137</v>
      </c>
      <c r="F693" s="389">
        <v>35680</v>
      </c>
      <c r="G693" s="501">
        <v>50000</v>
      </c>
      <c r="H693" s="501">
        <v>56273.100000000006</v>
      </c>
      <c r="I693" s="501">
        <v>56273.100000000006</v>
      </c>
      <c r="J693" s="501">
        <v>56273.100000000006</v>
      </c>
    </row>
    <row r="694" spans="1:10" ht="38.25">
      <c r="A694" s="408"/>
      <c r="B694" s="373">
        <v>1163</v>
      </c>
      <c r="C694" s="421">
        <v>11023</v>
      </c>
      <c r="D694" s="421"/>
      <c r="E694" s="393" t="s">
        <v>612</v>
      </c>
      <c r="F694" s="388">
        <f>+F695</f>
        <v>28796.7</v>
      </c>
      <c r="G694" s="500">
        <f>+G695</f>
        <v>29274.9</v>
      </c>
      <c r="H694" s="500">
        <f>+H695</f>
        <v>29274.9</v>
      </c>
      <c r="I694" s="500">
        <f>+I695</f>
        <v>29274.9</v>
      </c>
      <c r="J694" s="501">
        <f>+J695</f>
        <v>29274.9</v>
      </c>
    </row>
    <row r="695" spans="1:10" s="387" customFormat="1">
      <c r="A695" s="395"/>
      <c r="B695" s="396"/>
      <c r="C695" s="385"/>
      <c r="D695" s="385">
        <v>4639</v>
      </c>
      <c r="E695" s="385" t="s">
        <v>1119</v>
      </c>
      <c r="F695" s="389">
        <v>28796.7</v>
      </c>
      <c r="G695" s="501">
        <v>29274.9</v>
      </c>
      <c r="H695" s="501">
        <v>29274.9</v>
      </c>
      <c r="I695" s="501">
        <v>29274.9</v>
      </c>
      <c r="J695" s="501">
        <v>29274.9</v>
      </c>
    </row>
    <row r="696" spans="1:10" ht="38.25">
      <c r="A696" s="408"/>
      <c r="B696" s="373">
        <v>1163</v>
      </c>
      <c r="C696" s="421">
        <v>11024</v>
      </c>
      <c r="D696" s="421"/>
      <c r="E696" s="393" t="s">
        <v>613</v>
      </c>
      <c r="F696" s="388">
        <f>+F697</f>
        <v>44852.28</v>
      </c>
      <c r="G696" s="500">
        <f>+G697</f>
        <v>43068.1</v>
      </c>
      <c r="H696" s="501">
        <f>+H697</f>
        <v>61670.9</v>
      </c>
      <c r="I696" s="500">
        <f>+I697</f>
        <v>61670.9</v>
      </c>
      <c r="J696" s="500">
        <f>+J697</f>
        <v>61670.9</v>
      </c>
    </row>
    <row r="697" spans="1:10" s="387" customFormat="1">
      <c r="A697" s="395"/>
      <c r="B697" s="396"/>
      <c r="C697" s="385"/>
      <c r="D697" s="385">
        <v>4639</v>
      </c>
      <c r="E697" s="385" t="s">
        <v>1119</v>
      </c>
      <c r="F697" s="389">
        <v>44852.28</v>
      </c>
      <c r="G697" s="501">
        <v>43068.1</v>
      </c>
      <c r="H697" s="501">
        <v>61670.9</v>
      </c>
      <c r="I697" s="501">
        <v>61670.9</v>
      </c>
      <c r="J697" s="501">
        <v>61670.9</v>
      </c>
    </row>
    <row r="698" spans="1:10" ht="38.25">
      <c r="A698" s="408"/>
      <c r="B698" s="427">
        <v>1163</v>
      </c>
      <c r="C698" s="415">
        <v>12001</v>
      </c>
      <c r="D698" s="415"/>
      <c r="E698" s="438" t="s">
        <v>752</v>
      </c>
      <c r="F698" s="426">
        <f t="shared" ref="F698:J699" si="88">+F699</f>
        <v>1760793.73</v>
      </c>
      <c r="G698" s="514">
        <f t="shared" si="88"/>
        <v>1534688.6</v>
      </c>
      <c r="H698" s="501">
        <f t="shared" si="88"/>
        <v>1328627.2140092016</v>
      </c>
      <c r="I698" s="514">
        <f t="shared" si="88"/>
        <v>569411.66314680094</v>
      </c>
      <c r="J698" s="514">
        <f t="shared" si="88"/>
        <v>0</v>
      </c>
    </row>
    <row r="699" spans="1:10">
      <c r="A699" s="408"/>
      <c r="B699" s="373"/>
      <c r="C699" s="421"/>
      <c r="D699" s="421"/>
      <c r="E699" s="428" t="s">
        <v>1129</v>
      </c>
      <c r="F699" s="545">
        <f t="shared" si="88"/>
        <v>1760793.73</v>
      </c>
      <c r="G699" s="507">
        <f t="shared" si="88"/>
        <v>1534688.6</v>
      </c>
      <c r="H699" s="507">
        <f t="shared" si="88"/>
        <v>1328627.2140092016</v>
      </c>
      <c r="I699" s="507">
        <f t="shared" si="88"/>
        <v>569411.66314680094</v>
      </c>
      <c r="J699" s="507">
        <f t="shared" si="88"/>
        <v>0</v>
      </c>
    </row>
    <row r="700" spans="1:10" s="387" customFormat="1">
      <c r="A700" s="395"/>
      <c r="B700" s="396"/>
      <c r="C700" s="385"/>
      <c r="D700" s="385">
        <v>5112</v>
      </c>
      <c r="E700" s="385" t="s">
        <v>1130</v>
      </c>
      <c r="F700" s="389">
        <v>1760793.73</v>
      </c>
      <c r="G700" s="501">
        <v>1534688.6</v>
      </c>
      <c r="H700" s="501">
        <v>1328627.2140092016</v>
      </c>
      <c r="I700" s="501">
        <v>569411.66314680094</v>
      </c>
      <c r="J700" s="501">
        <v>0</v>
      </c>
    </row>
    <row r="701" spans="1:10">
      <c r="A701" s="408"/>
      <c r="B701" s="427">
        <v>1163</v>
      </c>
      <c r="C701" s="415">
        <v>32001</v>
      </c>
      <c r="D701" s="415"/>
      <c r="E701" s="438" t="s">
        <v>753</v>
      </c>
      <c r="F701" s="426">
        <f>+F702+F704</f>
        <v>409720.46</v>
      </c>
      <c r="G701" s="514">
        <f t="shared" ref="G701:J701" si="89">+G702+G704</f>
        <v>534111.69999999995</v>
      </c>
      <c r="H701" s="514">
        <f t="shared" si="89"/>
        <v>1730830.4474240001</v>
      </c>
      <c r="I701" s="514">
        <f t="shared" si="89"/>
        <v>2498806.89</v>
      </c>
      <c r="J701" s="514">
        <f t="shared" si="89"/>
        <v>2611474.3570000003</v>
      </c>
    </row>
    <row r="702" spans="1:10" ht="25.5">
      <c r="A702" s="408"/>
      <c r="B702" s="373"/>
      <c r="C702" s="421"/>
      <c r="D702" s="421"/>
      <c r="E702" s="428" t="s">
        <v>1196</v>
      </c>
      <c r="F702" s="545">
        <f>+F703</f>
        <v>0</v>
      </c>
      <c r="G702" s="507">
        <f t="shared" ref="G702:J702" si="90">+G703</f>
        <v>0</v>
      </c>
      <c r="H702" s="507">
        <f t="shared" si="90"/>
        <v>385859.18792399997</v>
      </c>
      <c r="I702" s="507">
        <f t="shared" si="90"/>
        <v>0</v>
      </c>
      <c r="J702" s="507">
        <f t="shared" si="90"/>
        <v>0</v>
      </c>
    </row>
    <row r="703" spans="1:10" s="387" customFormat="1">
      <c r="A703" s="395"/>
      <c r="B703" s="396"/>
      <c r="C703" s="385"/>
      <c r="D703" s="385">
        <v>5112</v>
      </c>
      <c r="E703" s="385" t="s">
        <v>1130</v>
      </c>
      <c r="F703" s="389"/>
      <c r="G703" s="501"/>
      <c r="H703" s="501">
        <v>385859.18792399997</v>
      </c>
      <c r="I703" s="501">
        <v>0</v>
      </c>
      <c r="J703" s="501">
        <v>0</v>
      </c>
    </row>
    <row r="704" spans="1:10">
      <c r="A704" s="408"/>
      <c r="B704" s="373"/>
      <c r="C704" s="421"/>
      <c r="D704" s="421"/>
      <c r="E704" s="428" t="s">
        <v>1129</v>
      </c>
      <c r="F704" s="545">
        <f>+F705+F706</f>
        <v>409720.46</v>
      </c>
      <c r="G704" s="507">
        <f>+G705+G706</f>
        <v>534111.69999999995</v>
      </c>
      <c r="H704" s="507">
        <f>+H705+H706</f>
        <v>1344971.2595000002</v>
      </c>
      <c r="I704" s="507">
        <f>+I705+I706</f>
        <v>2498806.89</v>
      </c>
      <c r="J704" s="507">
        <f>+J705+J706</f>
        <v>2611474.3570000003</v>
      </c>
    </row>
    <row r="705" spans="1:10" s="387" customFormat="1">
      <c r="A705" s="395"/>
      <c r="B705" s="396"/>
      <c r="C705" s="385"/>
      <c r="D705" s="385">
        <v>5112</v>
      </c>
      <c r="E705" s="385" t="s">
        <v>1130</v>
      </c>
      <c r="F705" s="389">
        <v>409720.46</v>
      </c>
      <c r="G705" s="501">
        <v>380790.1</v>
      </c>
      <c r="H705" s="501">
        <v>1311205.7495000002</v>
      </c>
      <c r="I705" s="501">
        <v>2498806.89</v>
      </c>
      <c r="J705" s="501">
        <v>2611474.3570000003</v>
      </c>
    </row>
    <row r="706" spans="1:10" s="387" customFormat="1">
      <c r="A706" s="395"/>
      <c r="B706" s="396"/>
      <c r="C706" s="385"/>
      <c r="D706" s="385">
        <v>5134</v>
      </c>
      <c r="E706" s="385" t="s">
        <v>1128</v>
      </c>
      <c r="F706" s="389"/>
      <c r="G706" s="501">
        <v>153321.60000000001</v>
      </c>
      <c r="H706" s="501">
        <v>33765.509999999995</v>
      </c>
      <c r="I706" s="501">
        <v>0</v>
      </c>
      <c r="J706" s="501">
        <v>0</v>
      </c>
    </row>
    <row r="707" spans="1:10">
      <c r="A707" s="408"/>
      <c r="B707" s="427">
        <v>1163</v>
      </c>
      <c r="C707" s="415">
        <v>32002</v>
      </c>
      <c r="D707" s="415"/>
      <c r="E707" s="438" t="s">
        <v>754</v>
      </c>
      <c r="F707" s="426">
        <f>+F708</f>
        <v>64895.94</v>
      </c>
      <c r="G707" s="514">
        <f t="shared" ref="G707:J708" si="91">+G708</f>
        <v>342269.4</v>
      </c>
      <c r="H707" s="514">
        <f t="shared" si="91"/>
        <v>230405.34399999998</v>
      </c>
      <c r="I707" s="514">
        <f t="shared" si="91"/>
        <v>0</v>
      </c>
      <c r="J707" s="514">
        <f t="shared" si="91"/>
        <v>0</v>
      </c>
    </row>
    <row r="708" spans="1:10">
      <c r="A708" s="408"/>
      <c r="B708" s="373"/>
      <c r="C708" s="421"/>
      <c r="D708" s="421"/>
      <c r="E708" s="428" t="s">
        <v>1129</v>
      </c>
      <c r="F708" s="545">
        <f>+F709</f>
        <v>64895.94</v>
      </c>
      <c r="G708" s="507">
        <f t="shared" si="91"/>
        <v>342269.4</v>
      </c>
      <c r="H708" s="507">
        <f t="shared" si="91"/>
        <v>230405.34399999998</v>
      </c>
      <c r="I708" s="507">
        <f t="shared" si="91"/>
        <v>0</v>
      </c>
      <c r="J708" s="507">
        <f t="shared" si="91"/>
        <v>0</v>
      </c>
    </row>
    <row r="709" spans="1:10" s="387" customFormat="1">
      <c r="A709" s="395"/>
      <c r="B709" s="396"/>
      <c r="C709" s="385"/>
      <c r="D709" s="385">
        <v>5113</v>
      </c>
      <c r="E709" s="385" t="s">
        <v>1127</v>
      </c>
      <c r="F709" s="389">
        <v>64895.94</v>
      </c>
      <c r="G709" s="501">
        <v>342269.4</v>
      </c>
      <c r="H709" s="501">
        <v>230405.34399999998</v>
      </c>
      <c r="I709" s="501">
        <v>0</v>
      </c>
      <c r="J709" s="501">
        <v>0</v>
      </c>
    </row>
    <row r="710" spans="1:10" ht="25.5">
      <c r="A710" s="408"/>
      <c r="B710" s="427">
        <v>1163</v>
      </c>
      <c r="C710" s="415">
        <v>32003</v>
      </c>
      <c r="D710" s="415"/>
      <c r="E710" s="438" t="s">
        <v>755</v>
      </c>
      <c r="F710" s="443">
        <f>+F711</f>
        <v>8498</v>
      </c>
      <c r="G710" s="526">
        <f t="shared" ref="G710:J710" si="92">+G711</f>
        <v>0</v>
      </c>
      <c r="H710" s="526">
        <f t="shared" si="92"/>
        <v>495600.00000000006</v>
      </c>
      <c r="I710" s="526">
        <f t="shared" si="92"/>
        <v>0</v>
      </c>
      <c r="J710" s="514">
        <f t="shared" si="92"/>
        <v>0</v>
      </c>
    </row>
    <row r="711" spans="1:10" ht="25.5">
      <c r="A711" s="408"/>
      <c r="B711" s="373"/>
      <c r="C711" s="421"/>
      <c r="D711" s="421"/>
      <c r="E711" s="428" t="s">
        <v>1196</v>
      </c>
      <c r="F711" s="545">
        <f>+F712+F713</f>
        <v>8498</v>
      </c>
      <c r="G711" s="507">
        <f t="shared" ref="G711:J711" si="93">+G712+G713</f>
        <v>0</v>
      </c>
      <c r="H711" s="507">
        <f t="shared" si="93"/>
        <v>495600.00000000006</v>
      </c>
      <c r="I711" s="507">
        <f t="shared" si="93"/>
        <v>0</v>
      </c>
      <c r="J711" s="507">
        <f t="shared" si="93"/>
        <v>0</v>
      </c>
    </row>
    <row r="712" spans="1:10" s="387" customFormat="1">
      <c r="A712" s="395"/>
      <c r="B712" s="396"/>
      <c r="C712" s="385"/>
      <c r="D712" s="385">
        <v>5112</v>
      </c>
      <c r="E712" s="385" t="s">
        <v>1130</v>
      </c>
      <c r="F712" s="389">
        <v>0</v>
      </c>
      <c r="G712" s="501">
        <v>0</v>
      </c>
      <c r="H712" s="501">
        <v>495600.00000000006</v>
      </c>
      <c r="I712" s="501">
        <v>0</v>
      </c>
      <c r="J712" s="501">
        <v>0</v>
      </c>
    </row>
    <row r="713" spans="1:10" s="387" customFormat="1">
      <c r="A713" s="395"/>
      <c r="B713" s="396"/>
      <c r="C713" s="385"/>
      <c r="D713" s="385">
        <v>5134</v>
      </c>
      <c r="E713" s="385" t="s">
        <v>1128</v>
      </c>
      <c r="F713" s="389">
        <v>8498</v>
      </c>
      <c r="G713" s="501">
        <v>0</v>
      </c>
      <c r="H713" s="501"/>
      <c r="I713" s="501"/>
      <c r="J713" s="501"/>
    </row>
    <row r="714" spans="1:10" ht="51">
      <c r="A714" s="408"/>
      <c r="B714" s="427">
        <v>1163</v>
      </c>
      <c r="C714" s="415">
        <v>32004</v>
      </c>
      <c r="D714" s="415"/>
      <c r="E714" s="438" t="s">
        <v>756</v>
      </c>
      <c r="F714" s="426">
        <v>0</v>
      </c>
      <c r="G714" s="514">
        <f>+G715</f>
        <v>883350</v>
      </c>
      <c r="H714" s="514">
        <f>+H715</f>
        <v>40770</v>
      </c>
      <c r="I714" s="514">
        <f>+I715</f>
        <v>40770</v>
      </c>
      <c r="J714" s="514">
        <f>+J715</f>
        <v>40770</v>
      </c>
    </row>
    <row r="715" spans="1:10" s="387" customFormat="1">
      <c r="A715" s="395"/>
      <c r="B715" s="396"/>
      <c r="C715" s="385"/>
      <c r="D715" s="385">
        <v>5129</v>
      </c>
      <c r="E715" s="385" t="s">
        <v>1135</v>
      </c>
      <c r="F715" s="389"/>
      <c r="G715" s="501">
        <v>883350</v>
      </c>
      <c r="H715" s="398">
        <f>135.9*300</f>
        <v>40770</v>
      </c>
      <c r="I715" s="398">
        <f>135.9*300</f>
        <v>40770</v>
      </c>
      <c r="J715" s="398">
        <f>135.9*300</f>
        <v>40770</v>
      </c>
    </row>
    <row r="716" spans="1:10" s="394" customFormat="1" ht="38.25" outlineLevel="1">
      <c r="A716" s="408"/>
      <c r="B716" s="427">
        <v>1163</v>
      </c>
      <c r="C716" s="569">
        <v>32006</v>
      </c>
      <c r="D716" s="415"/>
      <c r="E716" s="438" t="s">
        <v>1197</v>
      </c>
      <c r="F716" s="443">
        <f>+F717</f>
        <v>0</v>
      </c>
      <c r="G716" s="526">
        <f t="shared" ref="G716" si="94">+G717</f>
        <v>0</v>
      </c>
      <c r="H716" s="526">
        <f t="shared" ref="H716" si="95">+H717</f>
        <v>600000</v>
      </c>
      <c r="I716" s="526">
        <f t="shared" ref="I716" si="96">+I717</f>
        <v>3000000</v>
      </c>
      <c r="J716" s="514">
        <f t="shared" ref="J716" si="97">+J717</f>
        <v>4000000.0000000005</v>
      </c>
    </row>
    <row r="717" spans="1:10" s="394" customFormat="1" ht="25.5" outlineLevel="1">
      <c r="A717" s="408"/>
      <c r="B717" s="373"/>
      <c r="C717" s="569" t="s">
        <v>413</v>
      </c>
      <c r="D717" s="421"/>
      <c r="E717" s="428" t="s">
        <v>1196</v>
      </c>
      <c r="F717" s="545">
        <f>+F718+F719</f>
        <v>0</v>
      </c>
      <c r="G717" s="507">
        <f t="shared" ref="G717" si="98">+G718+G719</f>
        <v>0</v>
      </c>
      <c r="H717" s="507">
        <f t="shared" ref="H717" si="99">+H718+H719</f>
        <v>600000</v>
      </c>
      <c r="I717" s="507">
        <f t="shared" ref="I717" si="100">+I718+I719</f>
        <v>3000000</v>
      </c>
      <c r="J717" s="507">
        <f t="shared" ref="J717" si="101">+J718+J719</f>
        <v>4000000.0000000005</v>
      </c>
    </row>
    <row r="718" spans="1:10" s="397" customFormat="1" outlineLevel="1">
      <c r="A718" s="395"/>
      <c r="B718" s="396"/>
      <c r="C718" s="385"/>
      <c r="D718" s="385">
        <v>5112</v>
      </c>
      <c r="E718" s="385" t="s">
        <v>1130</v>
      </c>
      <c r="F718" s="389">
        <v>0</v>
      </c>
      <c r="G718" s="501">
        <v>0</v>
      </c>
      <c r="H718" s="501">
        <v>0</v>
      </c>
      <c r="I718" s="501">
        <v>3000000</v>
      </c>
      <c r="J718" s="501">
        <v>4000000.0000000005</v>
      </c>
    </row>
    <row r="719" spans="1:10" s="397" customFormat="1" outlineLevel="1">
      <c r="A719" s="395"/>
      <c r="B719" s="396"/>
      <c r="C719" s="385"/>
      <c r="D719" s="385">
        <v>5134</v>
      </c>
      <c r="E719" s="385" t="s">
        <v>1128</v>
      </c>
      <c r="F719" s="389">
        <v>0</v>
      </c>
      <c r="G719" s="501">
        <v>0</v>
      </c>
      <c r="H719" s="501">
        <v>600000</v>
      </c>
      <c r="I719" s="501">
        <v>0</v>
      </c>
      <c r="J719" s="501">
        <v>0</v>
      </c>
    </row>
    <row r="720" spans="1:10" ht="25.5" outlineLevel="1">
      <c r="A720" s="408"/>
      <c r="B720" s="378">
        <v>1163</v>
      </c>
      <c r="C720" s="569" t="s">
        <v>413</v>
      </c>
      <c r="D720" s="479"/>
      <c r="E720" s="476" t="s">
        <v>1183</v>
      </c>
      <c r="F720" s="391">
        <f>+F721</f>
        <v>0</v>
      </c>
      <c r="G720" s="502">
        <f>+G721</f>
        <v>0</v>
      </c>
      <c r="H720" s="502">
        <f>+H721</f>
        <v>15000</v>
      </c>
      <c r="I720" s="502">
        <f>+I721</f>
        <v>0</v>
      </c>
      <c r="J720" s="502">
        <f>+J721</f>
        <v>0</v>
      </c>
    </row>
    <row r="721" spans="1:10" outlineLevel="1">
      <c r="A721" s="408"/>
      <c r="B721" s="378"/>
      <c r="C721" s="480"/>
      <c r="D721" s="478"/>
      <c r="E721" s="385" t="s">
        <v>1208</v>
      </c>
      <c r="F721" s="398">
        <v>0</v>
      </c>
      <c r="G721" s="504">
        <v>0</v>
      </c>
      <c r="H721" s="504">
        <v>15000</v>
      </c>
      <c r="I721" s="504">
        <v>0</v>
      </c>
      <c r="J721" s="504">
        <v>0</v>
      </c>
    </row>
    <row r="722" spans="1:10" ht="63.75" outlineLevel="1">
      <c r="A722" s="408"/>
      <c r="B722" s="378">
        <v>1163</v>
      </c>
      <c r="C722" s="569" t="s">
        <v>413</v>
      </c>
      <c r="D722" s="442" t="s">
        <v>413</v>
      </c>
      <c r="E722" s="481" t="s">
        <v>797</v>
      </c>
      <c r="F722" s="391">
        <f>+F723</f>
        <v>0</v>
      </c>
      <c r="G722" s="502">
        <f>+G723</f>
        <v>0</v>
      </c>
      <c r="H722" s="502">
        <f>+H723</f>
        <v>4500</v>
      </c>
      <c r="I722" s="502">
        <f>+I723</f>
        <v>4500</v>
      </c>
      <c r="J722" s="502">
        <f>+J723</f>
        <v>4500</v>
      </c>
    </row>
    <row r="723" spans="1:10" outlineLevel="1">
      <c r="A723" s="408"/>
      <c r="B723" s="378"/>
      <c r="C723" s="429"/>
      <c r="D723" s="442"/>
      <c r="E723" s="385" t="s">
        <v>1137</v>
      </c>
      <c r="F723" s="468">
        <v>0</v>
      </c>
      <c r="G723" s="525">
        <v>0</v>
      </c>
      <c r="H723" s="525">
        <v>4500</v>
      </c>
      <c r="I723" s="525">
        <v>4500</v>
      </c>
      <c r="J723" s="525">
        <v>4500</v>
      </c>
    </row>
    <row r="724" spans="1:10" ht="51" outlineLevel="1">
      <c r="A724" s="408"/>
      <c r="B724" s="378">
        <v>1163</v>
      </c>
      <c r="C724" s="569" t="s">
        <v>413</v>
      </c>
      <c r="D724" s="442" t="s">
        <v>413</v>
      </c>
      <c r="E724" s="481" t="s">
        <v>618</v>
      </c>
      <c r="F724" s="377">
        <f>+F725</f>
        <v>0</v>
      </c>
      <c r="G724" s="502">
        <f>+G725</f>
        <v>0</v>
      </c>
      <c r="H724" s="502">
        <f>+H725</f>
        <v>99842.4</v>
      </c>
      <c r="I724" s="502">
        <f>+I725</f>
        <v>99842.4</v>
      </c>
      <c r="J724" s="502">
        <f>+J725</f>
        <v>99842.4</v>
      </c>
    </row>
    <row r="725" spans="1:10" outlineLevel="1">
      <c r="A725" s="408"/>
      <c r="B725" s="378"/>
      <c r="C725" s="429"/>
      <c r="D725" s="442"/>
      <c r="E725" s="385" t="s">
        <v>1208</v>
      </c>
      <c r="F725" s="399"/>
      <c r="G725" s="504">
        <v>0</v>
      </c>
      <c r="H725" s="504">
        <v>99842.4</v>
      </c>
      <c r="I725" s="504">
        <v>99842.4</v>
      </c>
      <c r="J725" s="504">
        <v>99842.4</v>
      </c>
    </row>
    <row r="726" spans="1:10" ht="51" outlineLevel="1">
      <c r="A726" s="408"/>
      <c r="B726" s="378">
        <v>1163</v>
      </c>
      <c r="C726" s="569" t="s">
        <v>413</v>
      </c>
      <c r="D726" s="442" t="s">
        <v>413</v>
      </c>
      <c r="E726" s="481" t="s">
        <v>1209</v>
      </c>
      <c r="F726" s="377">
        <v>0</v>
      </c>
      <c r="G726" s="502">
        <f>+G727</f>
        <v>0</v>
      </c>
      <c r="H726" s="502">
        <f>+H727</f>
        <v>21384</v>
      </c>
      <c r="I726" s="502">
        <f>+I727</f>
        <v>42768</v>
      </c>
      <c r="J726" s="502">
        <f>+J727</f>
        <v>64152</v>
      </c>
    </row>
    <row r="727" spans="1:10" outlineLevel="1">
      <c r="A727" s="408"/>
      <c r="B727" s="378"/>
      <c r="C727" s="429"/>
      <c r="D727" s="442"/>
      <c r="E727" s="385" t="s">
        <v>1208</v>
      </c>
      <c r="F727" s="399"/>
      <c r="G727" s="504">
        <v>0</v>
      </c>
      <c r="H727" s="504">
        <v>21384</v>
      </c>
      <c r="I727" s="504">
        <v>42768</v>
      </c>
      <c r="J727" s="504">
        <v>64152</v>
      </c>
    </row>
    <row r="728" spans="1:10" s="587" customFormat="1" ht="38.25">
      <c r="A728" s="584"/>
      <c r="B728" s="585">
        <v>1163</v>
      </c>
      <c r="C728" s="569" t="s">
        <v>413</v>
      </c>
      <c r="D728" s="478"/>
      <c r="E728" s="472" t="s">
        <v>1226</v>
      </c>
      <c r="F728" s="391">
        <f>+F729+F730</f>
        <v>0</v>
      </c>
      <c r="G728" s="391">
        <f>+G729+G730</f>
        <v>0</v>
      </c>
      <c r="H728" s="586">
        <f>+H729+H730</f>
        <v>18000</v>
      </c>
      <c r="I728" s="586">
        <f>+I729+I730</f>
        <v>30000</v>
      </c>
      <c r="J728" s="391">
        <f>+J729+J730</f>
        <v>30000</v>
      </c>
    </row>
    <row r="729" spans="1:10" s="486" customFormat="1" ht="38.25">
      <c r="A729" s="482"/>
      <c r="B729" s="474"/>
      <c r="C729" s="475"/>
      <c r="D729" s="475">
        <v>4637</v>
      </c>
      <c r="E729" s="475" t="s">
        <v>1121</v>
      </c>
      <c r="F729" s="398">
        <v>0</v>
      </c>
      <c r="G729" s="398">
        <v>0</v>
      </c>
      <c r="H729" s="398">
        <v>9000</v>
      </c>
      <c r="I729" s="398">
        <v>15000</v>
      </c>
      <c r="J729" s="398">
        <v>15000</v>
      </c>
    </row>
    <row r="730" spans="1:10" s="486" customFormat="1" ht="38.25">
      <c r="A730" s="482"/>
      <c r="B730" s="474"/>
      <c r="C730" s="475"/>
      <c r="D730" s="475">
        <v>4655</v>
      </c>
      <c r="E730" s="475" t="s">
        <v>1162</v>
      </c>
      <c r="F730" s="398">
        <v>0</v>
      </c>
      <c r="G730" s="398">
        <v>0</v>
      </c>
      <c r="H730" s="398">
        <v>9000</v>
      </c>
      <c r="I730" s="398">
        <v>15000</v>
      </c>
      <c r="J730" s="398">
        <v>15000</v>
      </c>
    </row>
    <row r="731" spans="1:10" s="405" customFormat="1">
      <c r="A731" s="574">
        <v>13</v>
      </c>
      <c r="B731" s="555">
        <v>1168</v>
      </c>
      <c r="C731" s="605" t="s">
        <v>622</v>
      </c>
      <c r="D731" s="620"/>
      <c r="E731" s="607"/>
      <c r="F731" s="376">
        <f>SUM(F732,F734,F736,F745,F750,F754,F756,F759,F762,F763,F764,F766,F769,F770,F776,F779,F781)</f>
        <v>12529142.58</v>
      </c>
      <c r="G731" s="497">
        <f>SUM(G732,G734,G736,G745,G750,G754,G756,G759,G762,G763,G764,G766,G769,G770,G776,G779,G781,G787)</f>
        <v>10749429.9</v>
      </c>
      <c r="H731" s="497">
        <f t="shared" ref="H731:J731" si="102">SUM(H732,H734,H736,H745,H750,H754,H756,H759,H762,H763,H764,H766,H769,H770,H776,H779,H781,H787)</f>
        <v>14868080.692666667</v>
      </c>
      <c r="I731" s="497">
        <f t="shared" si="102"/>
        <v>12527934.062666666</v>
      </c>
      <c r="J731" s="497">
        <f t="shared" si="102"/>
        <v>12661034.062666666</v>
      </c>
    </row>
    <row r="732" spans="1:10">
      <c r="A732" s="359"/>
      <c r="B732" s="378">
        <v>1168</v>
      </c>
      <c r="C732" s="371">
        <v>11001</v>
      </c>
      <c r="D732" s="371"/>
      <c r="E732" s="380" t="s">
        <v>623</v>
      </c>
      <c r="F732" s="381">
        <f>+F733</f>
        <v>1448599.12</v>
      </c>
      <c r="G732" s="498">
        <f>+G733</f>
        <v>1580000</v>
      </c>
      <c r="H732" s="500">
        <f>+H733</f>
        <v>1860000</v>
      </c>
      <c r="I732" s="500">
        <f>+I733</f>
        <v>1880000</v>
      </c>
      <c r="J732" s="500">
        <f>+J733</f>
        <v>1900000</v>
      </c>
    </row>
    <row r="733" spans="1:10" s="387" customFormat="1" ht="38.25">
      <c r="A733" s="382"/>
      <c r="B733" s="383"/>
      <c r="C733" s="384"/>
      <c r="D733" s="385">
        <v>4637</v>
      </c>
      <c r="E733" s="385" t="s">
        <v>1121</v>
      </c>
      <c r="F733" s="386">
        <v>1448599.12</v>
      </c>
      <c r="G733" s="499">
        <v>1580000</v>
      </c>
      <c r="H733" s="501">
        <v>1860000</v>
      </c>
      <c r="I733" s="501">
        <v>1880000</v>
      </c>
      <c r="J733" s="501">
        <v>1900000</v>
      </c>
    </row>
    <row r="734" spans="1:10" ht="25.5">
      <c r="A734" s="359"/>
      <c r="B734" s="378">
        <v>1168</v>
      </c>
      <c r="C734" s="371">
        <v>11002</v>
      </c>
      <c r="D734" s="371"/>
      <c r="E734" s="380" t="s">
        <v>624</v>
      </c>
      <c r="F734" s="381">
        <f>+F735</f>
        <v>351146.9</v>
      </c>
      <c r="G734" s="498">
        <f>+G735</f>
        <v>359307.5</v>
      </c>
      <c r="H734" s="500">
        <f>+H735</f>
        <v>500000</v>
      </c>
      <c r="I734" s="500">
        <f>+I735</f>
        <v>500000</v>
      </c>
      <c r="J734" s="500">
        <f>+J735</f>
        <v>500000</v>
      </c>
    </row>
    <row r="735" spans="1:10" s="387" customFormat="1" ht="38.25">
      <c r="A735" s="382"/>
      <c r="B735" s="383"/>
      <c r="C735" s="384"/>
      <c r="D735" s="385">
        <v>4637</v>
      </c>
      <c r="E735" s="385" t="s">
        <v>1121</v>
      </c>
      <c r="F735" s="386">
        <v>351146.9</v>
      </c>
      <c r="G735" s="499">
        <v>359307.5</v>
      </c>
      <c r="H735" s="501">
        <v>500000</v>
      </c>
      <c r="I735" s="501">
        <v>500000</v>
      </c>
      <c r="J735" s="501">
        <v>500000</v>
      </c>
    </row>
    <row r="736" spans="1:10">
      <c r="A736" s="359"/>
      <c r="B736" s="378">
        <v>1168</v>
      </c>
      <c r="C736" s="371">
        <v>11003</v>
      </c>
      <c r="D736" s="371"/>
      <c r="E736" s="380" t="s">
        <v>625</v>
      </c>
      <c r="F736" s="381">
        <f>SUM(F737,F739,F741,F743)</f>
        <v>2265194.7899999996</v>
      </c>
      <c r="G736" s="500">
        <f>SUM(G737,G739,G741,G743)</f>
        <v>2049406.6</v>
      </c>
      <c r="H736" s="500">
        <f>SUM(H737,H739,H741,H743)</f>
        <v>2084326.2</v>
      </c>
      <c r="I736" s="500">
        <f>SUM(I737,I739,I741,I743)</f>
        <v>2084326.2</v>
      </c>
      <c r="J736" s="500">
        <f>SUM(J737,J739,J741,J743)</f>
        <v>2084326.2</v>
      </c>
    </row>
    <row r="737" spans="1:10" ht="25.5">
      <c r="A737" s="359"/>
      <c r="B737" s="373"/>
      <c r="C737" s="384"/>
      <c r="D737" s="421"/>
      <c r="E737" s="406" t="s">
        <v>1140</v>
      </c>
      <c r="F737" s="407">
        <f>+F738</f>
        <v>457064.6</v>
      </c>
      <c r="G737" s="507">
        <f>+G738</f>
        <v>0</v>
      </c>
      <c r="H737" s="507">
        <f>+H738</f>
        <v>0</v>
      </c>
      <c r="I737" s="507">
        <f>+I738</f>
        <v>0</v>
      </c>
      <c r="J737" s="507">
        <f>+J738</f>
        <v>0</v>
      </c>
    </row>
    <row r="738" spans="1:10" s="387" customFormat="1">
      <c r="A738" s="382"/>
      <c r="B738" s="383"/>
      <c r="C738" s="384"/>
      <c r="D738" s="385">
        <v>4632</v>
      </c>
      <c r="E738" s="385" t="s">
        <v>1158</v>
      </c>
      <c r="F738" s="386">
        <v>457064.6</v>
      </c>
      <c r="G738" s="501">
        <v>0</v>
      </c>
      <c r="H738" s="501">
        <v>0</v>
      </c>
      <c r="I738" s="501">
        <v>0</v>
      </c>
      <c r="J738" s="501">
        <v>0</v>
      </c>
    </row>
    <row r="739" spans="1:10" ht="25.5">
      <c r="A739" s="359"/>
      <c r="B739" s="373"/>
      <c r="C739" s="371"/>
      <c r="D739" s="421"/>
      <c r="E739" s="406" t="s">
        <v>1157</v>
      </c>
      <c r="F739" s="407">
        <f>+F740</f>
        <v>1681683.39</v>
      </c>
      <c r="G739" s="507">
        <f>+G740</f>
        <v>1895502.8</v>
      </c>
      <c r="H739" s="507">
        <f>+H740</f>
        <v>1930422.4</v>
      </c>
      <c r="I739" s="507">
        <f>+I740</f>
        <v>1930422.4</v>
      </c>
      <c r="J739" s="507">
        <f>+J740</f>
        <v>1930422.4</v>
      </c>
    </row>
    <row r="740" spans="1:10" s="387" customFormat="1" ht="38.25">
      <c r="A740" s="382"/>
      <c r="B740" s="383"/>
      <c r="C740" s="384"/>
      <c r="D740" s="385">
        <v>4637</v>
      </c>
      <c r="E740" s="385" t="s">
        <v>1121</v>
      </c>
      <c r="F740" s="386">
        <v>1681683.39</v>
      </c>
      <c r="G740" s="501">
        <v>1895502.8</v>
      </c>
      <c r="H740" s="501">
        <v>1930422.4</v>
      </c>
      <c r="I740" s="501">
        <v>1930422.4</v>
      </c>
      <c r="J740" s="501">
        <v>1930422.4</v>
      </c>
    </row>
    <row r="741" spans="1:10">
      <c r="A741" s="359"/>
      <c r="B741" s="373"/>
      <c r="C741" s="371"/>
      <c r="D741" s="421"/>
      <c r="E741" s="406" t="s">
        <v>1144</v>
      </c>
      <c r="F741" s="407">
        <f>+F742</f>
        <v>56472.800000000003</v>
      </c>
      <c r="G741" s="507">
        <f>+G742</f>
        <v>66412</v>
      </c>
      <c r="H741" s="507">
        <f>+H742</f>
        <v>66412</v>
      </c>
      <c r="I741" s="507">
        <f>+I742</f>
        <v>66412</v>
      </c>
      <c r="J741" s="507">
        <f>+J742</f>
        <v>66412</v>
      </c>
    </row>
    <row r="742" spans="1:10" s="387" customFormat="1" ht="38.25">
      <c r="A742" s="382"/>
      <c r="B742" s="383"/>
      <c r="C742" s="384"/>
      <c r="D742" s="385">
        <v>4637</v>
      </c>
      <c r="E742" s="385" t="s">
        <v>1121</v>
      </c>
      <c r="F742" s="386">
        <v>56472.800000000003</v>
      </c>
      <c r="G742" s="501">
        <v>66412</v>
      </c>
      <c r="H742" s="501">
        <v>66412</v>
      </c>
      <c r="I742" s="501">
        <v>66412</v>
      </c>
      <c r="J742" s="501">
        <v>66412</v>
      </c>
    </row>
    <row r="743" spans="1:10">
      <c r="A743" s="359"/>
      <c r="B743" s="373"/>
      <c r="C743" s="371"/>
      <c r="D743" s="421"/>
      <c r="E743" s="406" t="s">
        <v>1148</v>
      </c>
      <c r="F743" s="407">
        <f>+F744</f>
        <v>69974</v>
      </c>
      <c r="G743" s="507">
        <f>+G744</f>
        <v>87491.8</v>
      </c>
      <c r="H743" s="507">
        <f>+H744</f>
        <v>87491.8</v>
      </c>
      <c r="I743" s="507">
        <f>+I744</f>
        <v>87491.8</v>
      </c>
      <c r="J743" s="507">
        <f>+J744</f>
        <v>87491.8</v>
      </c>
    </row>
    <row r="744" spans="1:10" s="387" customFormat="1" ht="38.25">
      <c r="A744" s="382"/>
      <c r="B744" s="383"/>
      <c r="C744" s="384"/>
      <c r="D744" s="385">
        <v>4637</v>
      </c>
      <c r="E744" s="385" t="s">
        <v>1121</v>
      </c>
      <c r="F744" s="386">
        <v>69974</v>
      </c>
      <c r="G744" s="501">
        <v>87491.8</v>
      </c>
      <c r="H744" s="501">
        <v>87491.8</v>
      </c>
      <c r="I744" s="501">
        <v>87491.8</v>
      </c>
      <c r="J744" s="501">
        <v>87491.8</v>
      </c>
    </row>
    <row r="745" spans="1:10">
      <c r="A745" s="359"/>
      <c r="B745" s="378">
        <v>1168</v>
      </c>
      <c r="C745" s="371">
        <v>11004</v>
      </c>
      <c r="D745" s="371"/>
      <c r="E745" s="380" t="s">
        <v>626</v>
      </c>
      <c r="F745" s="381">
        <f>+F746+F748</f>
        <v>2972434.27</v>
      </c>
      <c r="G745" s="500">
        <f>+G746+G748</f>
        <v>3014620.7</v>
      </c>
      <c r="H745" s="500">
        <f>+H746+H748</f>
        <v>3014620.7</v>
      </c>
      <c r="I745" s="500">
        <f>+I746+I748</f>
        <v>3014620.7</v>
      </c>
      <c r="J745" s="500">
        <f>+J746+J748</f>
        <v>3014620.7</v>
      </c>
    </row>
    <row r="746" spans="1:10" ht="25.5">
      <c r="A746" s="359"/>
      <c r="B746" s="373"/>
      <c r="C746" s="384"/>
      <c r="D746" s="421"/>
      <c r="E746" s="406" t="s">
        <v>1157</v>
      </c>
      <c r="F746" s="407">
        <f>+F747</f>
        <v>2826333.77</v>
      </c>
      <c r="G746" s="507">
        <f>+G747</f>
        <v>2838704</v>
      </c>
      <c r="H746" s="507">
        <f>+H747</f>
        <v>2838704</v>
      </c>
      <c r="I746" s="507">
        <f>+I747</f>
        <v>2838704</v>
      </c>
      <c r="J746" s="507">
        <f>+J747</f>
        <v>2838704</v>
      </c>
    </row>
    <row r="747" spans="1:10" s="387" customFormat="1" ht="38.25">
      <c r="A747" s="382"/>
      <c r="B747" s="383"/>
      <c r="C747" s="384"/>
      <c r="D747" s="385">
        <v>4637</v>
      </c>
      <c r="E747" s="385" t="s">
        <v>1121</v>
      </c>
      <c r="F747" s="386">
        <v>2826333.77</v>
      </c>
      <c r="G747" s="501">
        <v>2838704</v>
      </c>
      <c r="H747" s="501">
        <v>2838704</v>
      </c>
      <c r="I747" s="501">
        <v>2838704</v>
      </c>
      <c r="J747" s="501">
        <v>2838704</v>
      </c>
    </row>
    <row r="748" spans="1:10">
      <c r="A748" s="359"/>
      <c r="B748" s="373"/>
      <c r="C748" s="371"/>
      <c r="D748" s="421"/>
      <c r="E748" s="406" t="s">
        <v>61</v>
      </c>
      <c r="F748" s="407">
        <f>+F749</f>
        <v>146100.5</v>
      </c>
      <c r="G748" s="507">
        <f>+G749</f>
        <v>175916.7</v>
      </c>
      <c r="H748" s="507">
        <f>+H749</f>
        <v>175916.7</v>
      </c>
      <c r="I748" s="507">
        <f>+I749</f>
        <v>175916.7</v>
      </c>
      <c r="J748" s="507">
        <f>+J749</f>
        <v>175916.7</v>
      </c>
    </row>
    <row r="749" spans="1:10" s="387" customFormat="1" ht="38.25">
      <c r="A749" s="382"/>
      <c r="B749" s="383"/>
      <c r="C749" s="384"/>
      <c r="D749" s="385">
        <v>4637</v>
      </c>
      <c r="E749" s="385" t="s">
        <v>1121</v>
      </c>
      <c r="F749" s="386">
        <v>146100.5</v>
      </c>
      <c r="G749" s="501">
        <v>175916.7</v>
      </c>
      <c r="H749" s="501">
        <v>175916.7</v>
      </c>
      <c r="I749" s="501">
        <v>175916.7</v>
      </c>
      <c r="J749" s="501">
        <v>175916.7</v>
      </c>
    </row>
    <row r="750" spans="1:10">
      <c r="A750" s="408"/>
      <c r="B750" s="378">
        <v>1168</v>
      </c>
      <c r="C750" s="371">
        <v>11005</v>
      </c>
      <c r="D750" s="371"/>
      <c r="E750" s="380" t="s">
        <v>627</v>
      </c>
      <c r="F750" s="381">
        <f>SUM(F751:F753)</f>
        <v>3920309.44</v>
      </c>
      <c r="G750" s="498">
        <f>SUM(G751:G753)</f>
        <v>1310648</v>
      </c>
      <c r="H750" s="500">
        <f>SUM(H751:H753)</f>
        <v>5917545.5999999996</v>
      </c>
      <c r="I750" s="500">
        <f>SUM(I751:I753)</f>
        <v>3492912</v>
      </c>
      <c r="J750" s="500">
        <f>SUM(J751:J753)</f>
        <v>3412912</v>
      </c>
    </row>
    <row r="751" spans="1:10" ht="38.25">
      <c r="A751" s="359"/>
      <c r="B751" s="378"/>
      <c r="C751" s="384"/>
      <c r="D751" s="385">
        <v>4637</v>
      </c>
      <c r="E751" s="385" t="s">
        <v>1121</v>
      </c>
      <c r="F751" s="386">
        <v>971074.44</v>
      </c>
      <c r="G751" s="499">
        <v>745858</v>
      </c>
      <c r="H751" s="501">
        <v>2958772.8</v>
      </c>
      <c r="I751" s="501">
        <v>1746456</v>
      </c>
      <c r="J751" s="501">
        <v>1706456</v>
      </c>
    </row>
    <row r="752" spans="1:10">
      <c r="A752" s="359"/>
      <c r="B752" s="373"/>
      <c r="C752" s="421"/>
      <c r="D752" s="385">
        <v>4639</v>
      </c>
      <c r="E752" s="385" t="s">
        <v>1119</v>
      </c>
      <c r="F752" s="389">
        <v>2945920.1</v>
      </c>
      <c r="G752" s="501">
        <v>542277</v>
      </c>
      <c r="H752" s="501">
        <f>+H751-H753</f>
        <v>2869465.113041616</v>
      </c>
      <c r="I752" s="501">
        <f t="shared" ref="I752:J752" si="103">+I751-I753</f>
        <v>1693740.9197023199</v>
      </c>
      <c r="J752" s="501">
        <f t="shared" si="103"/>
        <v>1654948.2809023201</v>
      </c>
    </row>
    <row r="753" spans="1:10">
      <c r="A753" s="359"/>
      <c r="B753" s="373"/>
      <c r="C753" s="421"/>
      <c r="D753" s="385">
        <v>4729</v>
      </c>
      <c r="E753" s="385" t="s">
        <v>1125</v>
      </c>
      <c r="F753" s="389">
        <v>3314.9</v>
      </c>
      <c r="G753" s="501">
        <v>22513</v>
      </c>
      <c r="H753" s="501">
        <f>+H751*0.03018403</f>
        <v>89307.686958384002</v>
      </c>
      <c r="I753" s="501">
        <f t="shared" ref="I753:J753" si="104">+I751*0.03018403</f>
        <v>52715.080297680004</v>
      </c>
      <c r="J753" s="501">
        <f t="shared" si="104"/>
        <v>51507.719097679998</v>
      </c>
    </row>
    <row r="754" spans="1:10">
      <c r="A754" s="359"/>
      <c r="B754" s="378">
        <v>1168</v>
      </c>
      <c r="C754" s="371">
        <v>11006</v>
      </c>
      <c r="D754" s="371"/>
      <c r="E754" s="380" t="s">
        <v>628</v>
      </c>
      <c r="F754" s="381">
        <f>+F755</f>
        <v>400846.60000000003</v>
      </c>
      <c r="G754" s="498">
        <f>+G755</f>
        <v>404616.6</v>
      </c>
      <c r="H754" s="498">
        <f>+H755</f>
        <v>417216.6</v>
      </c>
      <c r="I754" s="498">
        <f t="shared" ref="I754:J754" si="105">+I755</f>
        <v>404616.6</v>
      </c>
      <c r="J754" s="498">
        <f t="shared" si="105"/>
        <v>404616.6</v>
      </c>
    </row>
    <row r="755" spans="1:10" ht="38.25">
      <c r="A755" s="359"/>
      <c r="B755" s="378"/>
      <c r="C755" s="384"/>
      <c r="D755" s="385">
        <v>4637</v>
      </c>
      <c r="E755" s="385" t="s">
        <v>1121</v>
      </c>
      <c r="F755" s="386">
        <v>400846.60000000003</v>
      </c>
      <c r="G755" s="499">
        <v>404616.6</v>
      </c>
      <c r="H755" s="501">
        <f>404616.6+12600</f>
        <v>417216.6</v>
      </c>
      <c r="I755" s="501">
        <v>404616.6</v>
      </c>
      <c r="J755" s="501">
        <v>404616.6</v>
      </c>
    </row>
    <row r="756" spans="1:10" ht="38.25">
      <c r="A756" s="359"/>
      <c r="B756" s="378">
        <v>1168</v>
      </c>
      <c r="C756" s="371">
        <v>11008</v>
      </c>
      <c r="D756" s="371"/>
      <c r="E756" s="380" t="s">
        <v>629</v>
      </c>
      <c r="F756" s="381">
        <f t="shared" ref="F756:J757" si="106">+F757</f>
        <v>73.680000000000007</v>
      </c>
      <c r="G756" s="498">
        <f t="shared" si="106"/>
        <v>90</v>
      </c>
      <c r="H756" s="500">
        <f t="shared" si="106"/>
        <v>90</v>
      </c>
      <c r="I756" s="500">
        <f t="shared" si="106"/>
        <v>90</v>
      </c>
      <c r="J756" s="500">
        <f t="shared" si="106"/>
        <v>90</v>
      </c>
    </row>
    <row r="757" spans="1:10" ht="38.25">
      <c r="A757" s="359"/>
      <c r="B757" s="373"/>
      <c r="C757" s="384"/>
      <c r="D757" s="421"/>
      <c r="E757" s="406" t="s">
        <v>1159</v>
      </c>
      <c r="F757" s="407">
        <f t="shared" si="106"/>
        <v>73.680000000000007</v>
      </c>
      <c r="G757" s="506">
        <f t="shared" si="106"/>
        <v>90</v>
      </c>
      <c r="H757" s="507">
        <f t="shared" si="106"/>
        <v>90</v>
      </c>
      <c r="I757" s="507">
        <f t="shared" si="106"/>
        <v>90</v>
      </c>
      <c r="J757" s="507">
        <f t="shared" si="106"/>
        <v>90</v>
      </c>
    </row>
    <row r="758" spans="1:10" s="387" customFormat="1">
      <c r="A758" s="382"/>
      <c r="B758" s="383"/>
      <c r="C758" s="384"/>
      <c r="D758" s="385">
        <v>4200</v>
      </c>
      <c r="E758" s="385" t="s">
        <v>1137</v>
      </c>
      <c r="F758" s="386">
        <v>73.680000000000007</v>
      </c>
      <c r="G758" s="499">
        <v>90</v>
      </c>
      <c r="H758" s="501">
        <v>90</v>
      </c>
      <c r="I758" s="501">
        <v>90</v>
      </c>
      <c r="J758" s="501">
        <v>90</v>
      </c>
    </row>
    <row r="759" spans="1:10">
      <c r="A759" s="359"/>
      <c r="B759" s="378">
        <v>1168</v>
      </c>
      <c r="C759" s="371">
        <v>11010</v>
      </c>
      <c r="D759" s="371"/>
      <c r="E759" s="380" t="s">
        <v>630</v>
      </c>
      <c r="F759" s="381">
        <f t="shared" ref="F759:J760" si="107">+F760</f>
        <v>182104.9</v>
      </c>
      <c r="G759" s="498">
        <f t="shared" si="107"/>
        <v>182104.9</v>
      </c>
      <c r="H759" s="500">
        <f t="shared" si="107"/>
        <v>182909.7</v>
      </c>
      <c r="I759" s="500">
        <f t="shared" si="107"/>
        <v>182909.7</v>
      </c>
      <c r="J759" s="500">
        <f t="shared" si="107"/>
        <v>182909.7</v>
      </c>
    </row>
    <row r="760" spans="1:10" ht="38.25">
      <c r="A760" s="359"/>
      <c r="B760" s="373"/>
      <c r="C760" s="384"/>
      <c r="D760" s="421"/>
      <c r="E760" s="406" t="s">
        <v>1160</v>
      </c>
      <c r="F760" s="407">
        <f t="shared" si="107"/>
        <v>182104.9</v>
      </c>
      <c r="G760" s="506">
        <f t="shared" si="107"/>
        <v>182104.9</v>
      </c>
      <c r="H760" s="507">
        <f t="shared" si="107"/>
        <v>182909.7</v>
      </c>
      <c r="I760" s="507">
        <f t="shared" si="107"/>
        <v>182909.7</v>
      </c>
      <c r="J760" s="507">
        <f t="shared" si="107"/>
        <v>182909.7</v>
      </c>
    </row>
    <row r="761" spans="1:10" s="387" customFormat="1" ht="25.5">
      <c r="A761" s="382"/>
      <c r="B761" s="383"/>
      <c r="C761" s="384"/>
      <c r="D761" s="385">
        <v>4638</v>
      </c>
      <c r="E761" s="385" t="s">
        <v>1161</v>
      </c>
      <c r="F761" s="386">
        <v>182104.9</v>
      </c>
      <c r="G761" s="499">
        <v>182104.9</v>
      </c>
      <c r="H761" s="501">
        <v>182909.7</v>
      </c>
      <c r="I761" s="501">
        <v>182909.7</v>
      </c>
      <c r="J761" s="501">
        <v>182909.7</v>
      </c>
    </row>
    <row r="762" spans="1:10" s="394" customFormat="1" ht="25.5" hidden="1" outlineLevel="1">
      <c r="A762" s="408"/>
      <c r="B762" s="373">
        <v>1168</v>
      </c>
      <c r="C762" s="421">
        <v>11013</v>
      </c>
      <c r="D762" s="421"/>
      <c r="E762" s="393" t="s">
        <v>631</v>
      </c>
      <c r="F762" s="388">
        <v>155259.68</v>
      </c>
      <c r="G762" s="500">
        <v>0</v>
      </c>
      <c r="H762" s="500">
        <v>0</v>
      </c>
      <c r="I762" s="500">
        <v>0</v>
      </c>
      <c r="J762" s="500">
        <v>0</v>
      </c>
    </row>
    <row r="763" spans="1:10" s="394" customFormat="1" ht="25.5" hidden="1" outlineLevel="1">
      <c r="A763" s="408"/>
      <c r="B763" s="373">
        <v>1168</v>
      </c>
      <c r="C763" s="421">
        <v>11014</v>
      </c>
      <c r="D763" s="421"/>
      <c r="E763" s="393" t="s">
        <v>632</v>
      </c>
      <c r="F763" s="388">
        <v>299568.84000000003</v>
      </c>
      <c r="G763" s="500">
        <v>0</v>
      </c>
      <c r="H763" s="500">
        <v>0</v>
      </c>
      <c r="I763" s="500">
        <v>0</v>
      </c>
      <c r="J763" s="500">
        <v>0</v>
      </c>
    </row>
    <row r="764" spans="1:10" ht="25.5" collapsed="1">
      <c r="A764" s="359"/>
      <c r="B764" s="378">
        <v>1168</v>
      </c>
      <c r="C764" s="371">
        <v>11025</v>
      </c>
      <c r="D764" s="371"/>
      <c r="E764" s="380" t="s">
        <v>1200</v>
      </c>
      <c r="F764" s="381">
        <f>+F765</f>
        <v>233526.80000000002</v>
      </c>
      <c r="G764" s="498">
        <f>+G765</f>
        <v>90517.7</v>
      </c>
      <c r="H764" s="500">
        <f>+H765</f>
        <v>175524.4</v>
      </c>
      <c r="I764" s="500">
        <f>+I765</f>
        <v>400000</v>
      </c>
      <c r="J764" s="500">
        <f>+J765</f>
        <v>600000</v>
      </c>
    </row>
    <row r="765" spans="1:10" s="387" customFormat="1" ht="38.25">
      <c r="A765" s="382"/>
      <c r="B765" s="383"/>
      <c r="C765" s="384"/>
      <c r="D765" s="385">
        <v>4637</v>
      </c>
      <c r="E765" s="385" t="s">
        <v>1121</v>
      </c>
      <c r="F765" s="386">
        <v>233526.80000000002</v>
      </c>
      <c r="G765" s="499">
        <v>90517.7</v>
      </c>
      <c r="H765" s="501">
        <v>175524.4</v>
      </c>
      <c r="I765" s="501">
        <v>400000</v>
      </c>
      <c r="J765" s="501">
        <v>600000</v>
      </c>
    </row>
    <row r="766" spans="1:10" ht="25.5">
      <c r="A766" s="359"/>
      <c r="B766" s="378">
        <v>1168</v>
      </c>
      <c r="C766" s="371">
        <v>12001</v>
      </c>
      <c r="D766" s="371"/>
      <c r="E766" s="380" t="s">
        <v>634</v>
      </c>
      <c r="F766" s="381">
        <f t="shared" ref="F766:J767" si="108">+F767</f>
        <v>26920</v>
      </c>
      <c r="G766" s="498">
        <f t="shared" si="108"/>
        <v>32880</v>
      </c>
      <c r="H766" s="500">
        <f>+H767</f>
        <v>31920</v>
      </c>
      <c r="I766" s="500">
        <f t="shared" si="108"/>
        <v>31920</v>
      </c>
      <c r="J766" s="500">
        <f t="shared" si="108"/>
        <v>31920</v>
      </c>
    </row>
    <row r="767" spans="1:10" ht="38.25">
      <c r="A767" s="359"/>
      <c r="B767" s="373"/>
      <c r="C767" s="384"/>
      <c r="D767" s="421"/>
      <c r="E767" s="406" t="s">
        <v>1159</v>
      </c>
      <c r="F767" s="407">
        <f t="shared" si="108"/>
        <v>26920</v>
      </c>
      <c r="G767" s="506">
        <f t="shared" si="108"/>
        <v>32880</v>
      </c>
      <c r="H767" s="507">
        <f t="shared" si="108"/>
        <v>31920</v>
      </c>
      <c r="I767" s="507">
        <f t="shared" si="108"/>
        <v>31920</v>
      </c>
      <c r="J767" s="507">
        <f t="shared" si="108"/>
        <v>31920</v>
      </c>
    </row>
    <row r="768" spans="1:10" s="387" customFormat="1" ht="25.5">
      <c r="A768" s="382"/>
      <c r="B768" s="383"/>
      <c r="C768" s="384"/>
      <c r="D768" s="385">
        <v>4727</v>
      </c>
      <c r="E768" s="385" t="s">
        <v>1122</v>
      </c>
      <c r="F768" s="386">
        <v>26920</v>
      </c>
      <c r="G768" s="499">
        <v>32880</v>
      </c>
      <c r="H768" s="501">
        <v>31920</v>
      </c>
      <c r="I768" s="501">
        <v>31920</v>
      </c>
      <c r="J768" s="501">
        <v>31920</v>
      </c>
    </row>
    <row r="769" spans="1:10" s="394" customFormat="1" ht="25.5" hidden="1" outlineLevel="2">
      <c r="A769" s="408"/>
      <c r="B769" s="373">
        <v>1168</v>
      </c>
      <c r="C769" s="421">
        <v>32005</v>
      </c>
      <c r="D769" s="421"/>
      <c r="E769" s="393" t="s">
        <v>635</v>
      </c>
      <c r="F769" s="388">
        <v>30000</v>
      </c>
      <c r="G769" s="500">
        <v>0</v>
      </c>
      <c r="H769" s="500">
        <v>0</v>
      </c>
      <c r="I769" s="500">
        <v>0</v>
      </c>
      <c r="J769" s="500">
        <v>0</v>
      </c>
    </row>
    <row r="770" spans="1:10" ht="38.25" collapsed="1">
      <c r="A770" s="359"/>
      <c r="B770" s="400">
        <v>1168</v>
      </c>
      <c r="C770" s="401">
        <v>32001</v>
      </c>
      <c r="D770" s="401"/>
      <c r="E770" s="402" t="s">
        <v>757</v>
      </c>
      <c r="F770" s="441">
        <f>+F771+F773</f>
        <v>46550.39</v>
      </c>
      <c r="G770" s="524">
        <f>+G771+G773</f>
        <v>441022.1</v>
      </c>
      <c r="H770" s="524">
        <f>+H771+H773</f>
        <v>460620.36466666672</v>
      </c>
      <c r="I770" s="524">
        <f>+I771+I773</f>
        <v>499638.86266666674</v>
      </c>
      <c r="J770" s="523">
        <f>+J771+J773</f>
        <v>499638.86266666674</v>
      </c>
    </row>
    <row r="771" spans="1:10" ht="25.5">
      <c r="A771" s="359"/>
      <c r="B771" s="373"/>
      <c r="C771" s="371"/>
      <c r="D771" s="421"/>
      <c r="E771" s="406" t="s">
        <v>1123</v>
      </c>
      <c r="F771" s="407">
        <f>+F772</f>
        <v>24632.400000000001</v>
      </c>
      <c r="G771" s="506">
        <f>+G772</f>
        <v>281665.7</v>
      </c>
      <c r="H771" s="506">
        <f>+H772</f>
        <v>295417.06666666665</v>
      </c>
      <c r="I771" s="506">
        <f>+I772</f>
        <v>169232.26666666666</v>
      </c>
      <c r="J771" s="506">
        <f>+J772</f>
        <v>169232.26666666666</v>
      </c>
    </row>
    <row r="772" spans="1:10" s="387" customFormat="1">
      <c r="A772" s="382"/>
      <c r="B772" s="383"/>
      <c r="C772" s="384"/>
      <c r="D772" s="385">
        <v>5113</v>
      </c>
      <c r="E772" s="385" t="s">
        <v>1127</v>
      </c>
      <c r="F772" s="398">
        <v>24632.400000000001</v>
      </c>
      <c r="G772" s="504">
        <v>281665.7</v>
      </c>
      <c r="H772" s="504">
        <v>295417.06666666665</v>
      </c>
      <c r="I772" s="504">
        <v>169232.26666666666</v>
      </c>
      <c r="J772" s="504">
        <v>169232.26666666666</v>
      </c>
    </row>
    <row r="773" spans="1:10">
      <c r="A773" s="359"/>
      <c r="B773" s="373"/>
      <c r="C773" s="371"/>
      <c r="D773" s="421"/>
      <c r="E773" s="406" t="s">
        <v>1129</v>
      </c>
      <c r="F773" s="407">
        <f>+F774+F775</f>
        <v>21917.99</v>
      </c>
      <c r="G773" s="506">
        <f>+G774+G775</f>
        <v>159356.4</v>
      </c>
      <c r="H773" s="506">
        <f>+H774+H775</f>
        <v>165203.29800000004</v>
      </c>
      <c r="I773" s="506">
        <f>+I774+I775</f>
        <v>330406.59600000008</v>
      </c>
      <c r="J773" s="506">
        <f>+J774+J775</f>
        <v>330406.59600000008</v>
      </c>
    </row>
    <row r="774" spans="1:10" s="387" customFormat="1">
      <c r="A774" s="382"/>
      <c r="B774" s="383"/>
      <c r="C774" s="384"/>
      <c r="D774" s="385">
        <v>5113</v>
      </c>
      <c r="E774" s="385" t="s">
        <v>1127</v>
      </c>
      <c r="F774" s="398">
        <v>21917.99</v>
      </c>
      <c r="G774" s="504">
        <v>79831.399999999994</v>
      </c>
      <c r="H774" s="504">
        <v>165203.29800000004</v>
      </c>
      <c r="I774" s="504">
        <v>330406.59600000008</v>
      </c>
      <c r="J774" s="504">
        <v>330406.59600000008</v>
      </c>
    </row>
    <row r="775" spans="1:10" s="387" customFormat="1">
      <c r="A775" s="382"/>
      <c r="B775" s="383"/>
      <c r="C775" s="384"/>
      <c r="D775" s="385">
        <v>5134</v>
      </c>
      <c r="E775" s="385" t="s">
        <v>1128</v>
      </c>
      <c r="F775" s="398">
        <v>0</v>
      </c>
      <c r="G775" s="504">
        <v>79525</v>
      </c>
      <c r="H775" s="504">
        <v>0</v>
      </c>
      <c r="I775" s="504">
        <v>0</v>
      </c>
      <c r="J775" s="504">
        <v>0</v>
      </c>
    </row>
    <row r="776" spans="1:10" ht="25.5">
      <c r="A776" s="359"/>
      <c r="B776" s="400">
        <v>1168</v>
      </c>
      <c r="C776" s="401">
        <v>32006</v>
      </c>
      <c r="D776" s="401"/>
      <c r="E776" s="402" t="s">
        <v>758</v>
      </c>
      <c r="F776" s="425">
        <f t="shared" ref="F776:H777" si="109">+F777</f>
        <v>0</v>
      </c>
      <c r="G776" s="514">
        <f t="shared" si="109"/>
        <v>0</v>
      </c>
      <c r="H776" s="514">
        <f t="shared" si="109"/>
        <v>0</v>
      </c>
      <c r="I776" s="514">
        <v>0</v>
      </c>
      <c r="J776" s="514">
        <v>0</v>
      </c>
    </row>
    <row r="777" spans="1:10" ht="38.25">
      <c r="A777" s="359"/>
      <c r="B777" s="373"/>
      <c r="C777" s="371"/>
      <c r="D777" s="421"/>
      <c r="E777" s="406" t="s">
        <v>1160</v>
      </c>
      <c r="F777" s="407">
        <f t="shared" si="109"/>
        <v>0</v>
      </c>
      <c r="G777" s="507">
        <f t="shared" si="109"/>
        <v>0</v>
      </c>
      <c r="H777" s="507">
        <f>+H778</f>
        <v>0</v>
      </c>
      <c r="I777" s="507">
        <f>+I778</f>
        <v>0</v>
      </c>
      <c r="J777" s="507">
        <f>+J778</f>
        <v>0</v>
      </c>
    </row>
    <row r="778" spans="1:10">
      <c r="A778" s="359"/>
      <c r="B778" s="420"/>
      <c r="C778" s="401"/>
      <c r="D778" s="415"/>
      <c r="E778" s="438"/>
      <c r="F778" s="426">
        <v>0</v>
      </c>
      <c r="G778" s="514">
        <v>0</v>
      </c>
      <c r="H778" s="514"/>
      <c r="I778" s="514"/>
      <c r="J778" s="514"/>
    </row>
    <row r="779" spans="1:10" ht="38.25">
      <c r="A779" s="359"/>
      <c r="B779" s="400">
        <v>1168</v>
      </c>
      <c r="C779" s="401">
        <v>32007</v>
      </c>
      <c r="D779" s="401"/>
      <c r="E779" s="438" t="s">
        <v>759</v>
      </c>
      <c r="F779" s="426">
        <f>+F780</f>
        <v>196607.17</v>
      </c>
      <c r="G779" s="514">
        <f>+G780</f>
        <v>1050870.8</v>
      </c>
      <c r="H779" s="514">
        <f>+H780</f>
        <v>115607.5</v>
      </c>
      <c r="I779" s="514">
        <f>+I780</f>
        <v>0</v>
      </c>
      <c r="J779" s="514">
        <f>+J780</f>
        <v>0</v>
      </c>
    </row>
    <row r="780" spans="1:10" s="387" customFormat="1">
      <c r="A780" s="382"/>
      <c r="B780" s="383"/>
      <c r="C780" s="384"/>
      <c r="D780" s="385">
        <v>5129</v>
      </c>
      <c r="E780" s="385" t="s">
        <v>1135</v>
      </c>
      <c r="F780" s="389">
        <v>196607.17</v>
      </c>
      <c r="G780" s="501">
        <v>1050870.8</v>
      </c>
      <c r="H780" s="501">
        <v>115607.5</v>
      </c>
      <c r="I780" s="501">
        <v>0</v>
      </c>
      <c r="J780" s="501">
        <v>0</v>
      </c>
    </row>
    <row r="781" spans="1:10">
      <c r="A781" s="359"/>
      <c r="B781" s="400">
        <v>1168</v>
      </c>
      <c r="C781" s="401">
        <v>32008</v>
      </c>
      <c r="D781" s="401"/>
      <c r="E781" s="438" t="s">
        <v>760</v>
      </c>
      <c r="F781" s="426">
        <f>+F782</f>
        <v>0</v>
      </c>
      <c r="G781" s="514">
        <f>+G782</f>
        <v>233345</v>
      </c>
      <c r="H781" s="514">
        <f>+H782</f>
        <v>89699.627999999997</v>
      </c>
      <c r="I781" s="514">
        <f>+I782</f>
        <v>6900</v>
      </c>
      <c r="J781" s="514">
        <f>+J782</f>
        <v>0</v>
      </c>
    </row>
    <row r="782" spans="1:10" s="387" customFormat="1">
      <c r="A782" s="382"/>
      <c r="B782" s="383"/>
      <c r="C782" s="384"/>
      <c r="D782" s="385">
        <v>5122</v>
      </c>
      <c r="E782" s="385" t="s">
        <v>1135</v>
      </c>
      <c r="F782" s="389">
        <v>0</v>
      </c>
      <c r="G782" s="501">
        <v>233345</v>
      </c>
      <c r="H782" s="501">
        <v>89699.627999999997</v>
      </c>
      <c r="I782" s="501">
        <v>6900</v>
      </c>
      <c r="J782" s="501">
        <v>0</v>
      </c>
    </row>
    <row r="783" spans="1:10" ht="51" outlineLevel="1">
      <c r="A783" s="408"/>
      <c r="B783" s="400">
        <v>1168</v>
      </c>
      <c r="C783" s="570" t="s">
        <v>465</v>
      </c>
      <c r="D783" s="444" t="s">
        <v>465</v>
      </c>
      <c r="E783" s="489" t="s">
        <v>1241</v>
      </c>
      <c r="F783" s="473">
        <f>+F784</f>
        <v>0</v>
      </c>
      <c r="G783" s="527">
        <f>+G784</f>
        <v>0</v>
      </c>
      <c r="H783" s="527">
        <f>+H784</f>
        <v>75486</v>
      </c>
      <c r="I783" s="527">
        <f>+I784</f>
        <v>75486</v>
      </c>
      <c r="J783" s="527">
        <f>+J784</f>
        <v>75486</v>
      </c>
    </row>
    <row r="784" spans="1:10" outlineLevel="1">
      <c r="A784" s="408"/>
      <c r="B784" s="400"/>
      <c r="C784" s="423"/>
      <c r="D784" s="444"/>
      <c r="E784" s="488" t="s">
        <v>1213</v>
      </c>
      <c r="F784" s="473"/>
      <c r="G784" s="527"/>
      <c r="H784" s="528">
        <v>75486</v>
      </c>
      <c r="I784" s="528">
        <v>75486</v>
      </c>
      <c r="J784" s="528">
        <v>75486</v>
      </c>
    </row>
    <row r="785" spans="1:10" ht="25.5" outlineLevel="1">
      <c r="A785" s="408"/>
      <c r="B785" s="400">
        <v>1168</v>
      </c>
      <c r="C785" s="570" t="s">
        <v>465</v>
      </c>
      <c r="D785" s="444" t="s">
        <v>465</v>
      </c>
      <c r="E785" s="489" t="s">
        <v>637</v>
      </c>
      <c r="F785" s="473">
        <f>+F786</f>
        <v>0</v>
      </c>
      <c r="G785" s="527">
        <f>+G786</f>
        <v>0</v>
      </c>
      <c r="H785" s="527">
        <f>+H786</f>
        <v>42912</v>
      </c>
      <c r="I785" s="527">
        <f>+I786</f>
        <v>42912</v>
      </c>
      <c r="J785" s="527">
        <f>+J786</f>
        <v>42912</v>
      </c>
    </row>
    <row r="786" spans="1:10" ht="38.25" outlineLevel="1">
      <c r="A786" s="359"/>
      <c r="B786" s="400"/>
      <c r="C786" s="423"/>
      <c r="D786" s="445"/>
      <c r="E786" s="475" t="s">
        <v>1121</v>
      </c>
      <c r="F786" s="473"/>
      <c r="G786" s="527"/>
      <c r="H786" s="528">
        <v>42912</v>
      </c>
      <c r="I786" s="528">
        <v>42912</v>
      </c>
      <c r="J786" s="528">
        <v>42912</v>
      </c>
    </row>
    <row r="787" spans="1:10" s="587" customFormat="1" ht="51">
      <c r="A787" s="584"/>
      <c r="B787" s="585">
        <v>1168</v>
      </c>
      <c r="C787" s="570" t="s">
        <v>465</v>
      </c>
      <c r="D787" s="478"/>
      <c r="E787" s="472" t="s">
        <v>1227</v>
      </c>
      <c r="F787" s="391">
        <f>+F788+F789</f>
        <v>0</v>
      </c>
      <c r="G787" s="391">
        <f>+G788+G789</f>
        <v>0</v>
      </c>
      <c r="H787" s="586">
        <f>+H788+H789</f>
        <v>18000</v>
      </c>
      <c r="I787" s="586">
        <f>+I788+I789</f>
        <v>30000</v>
      </c>
      <c r="J787" s="391">
        <f>+J788+J789</f>
        <v>30000</v>
      </c>
    </row>
    <row r="788" spans="1:10" s="486" customFormat="1" ht="38.25">
      <c r="A788" s="482"/>
      <c r="B788" s="474"/>
      <c r="C788" s="475"/>
      <c r="D788" s="475">
        <v>4637</v>
      </c>
      <c r="E788" s="475" t="s">
        <v>1121</v>
      </c>
      <c r="F788" s="398">
        <v>0</v>
      </c>
      <c r="G788" s="398">
        <v>0</v>
      </c>
      <c r="H788" s="398">
        <v>9000</v>
      </c>
      <c r="I788" s="398">
        <v>15000</v>
      </c>
      <c r="J788" s="398">
        <v>15000</v>
      </c>
    </row>
    <row r="789" spans="1:10" s="486" customFormat="1" ht="38.25">
      <c r="A789" s="482"/>
      <c r="B789" s="474"/>
      <c r="C789" s="475"/>
      <c r="D789" s="475">
        <v>4655</v>
      </c>
      <c r="E789" s="475" t="s">
        <v>1162</v>
      </c>
      <c r="F789" s="398">
        <v>0</v>
      </c>
      <c r="G789" s="398">
        <v>0</v>
      </c>
      <c r="H789" s="398">
        <v>9000</v>
      </c>
      <c r="I789" s="398">
        <v>15000</v>
      </c>
      <c r="J789" s="398">
        <v>15000</v>
      </c>
    </row>
    <row r="790" spans="1:10" s="405" customFormat="1">
      <c r="A790" s="574">
        <v>14</v>
      </c>
      <c r="B790" s="555">
        <v>1183</v>
      </c>
      <c r="C790" s="605" t="s">
        <v>638</v>
      </c>
      <c r="D790" s="608"/>
      <c r="E790" s="607"/>
      <c r="F790" s="404">
        <f>SUM(F791,F794,F807,F810,F811,F819,F825,F828,F829)</f>
        <v>7676978.3999999994</v>
      </c>
      <c r="G790" s="497">
        <f>SUM(G791,G794,G807,G810,G811,G819,G825,G828,G829)</f>
        <v>1512332.5</v>
      </c>
      <c r="H790" s="497">
        <f t="shared" ref="H790:J790" si="110">SUM(H791,H794,H807,H810,H811,H819,H825,H828,H829)</f>
        <v>715558.4665605115</v>
      </c>
      <c r="I790" s="497">
        <f t="shared" si="110"/>
        <v>1022251.0896281915</v>
      </c>
      <c r="J790" s="497">
        <f t="shared" si="110"/>
        <v>919938.37944228738</v>
      </c>
    </row>
    <row r="791" spans="1:10" ht="38.25">
      <c r="A791" s="359"/>
      <c r="B791" s="378">
        <v>1183</v>
      </c>
      <c r="C791" s="371">
        <v>11002</v>
      </c>
      <c r="D791" s="371"/>
      <c r="E791" s="380" t="s">
        <v>639</v>
      </c>
      <c r="F791" s="381">
        <f>+F792+F793</f>
        <v>32128.670000000002</v>
      </c>
      <c r="G791" s="500">
        <f>+G792+G793</f>
        <v>45000</v>
      </c>
      <c r="H791" s="511">
        <f>+H792+H793</f>
        <v>60000</v>
      </c>
      <c r="I791" s="511">
        <f>+I792+I793</f>
        <v>60000</v>
      </c>
      <c r="J791" s="500">
        <f>+J792+J793</f>
        <v>60000</v>
      </c>
    </row>
    <row r="792" spans="1:10" s="387" customFormat="1" ht="38.25">
      <c r="A792" s="382"/>
      <c r="B792" s="383"/>
      <c r="C792" s="384"/>
      <c r="D792" s="385">
        <v>4637</v>
      </c>
      <c r="E792" s="385" t="s">
        <v>1121</v>
      </c>
      <c r="F792" s="386">
        <v>32128.670000000002</v>
      </c>
      <c r="G792" s="501">
        <v>25000</v>
      </c>
      <c r="H792" s="501">
        <v>30000</v>
      </c>
      <c r="I792" s="501">
        <v>30000</v>
      </c>
      <c r="J792" s="501">
        <v>30000</v>
      </c>
    </row>
    <row r="793" spans="1:10" s="387" customFormat="1" ht="38.25">
      <c r="A793" s="382"/>
      <c r="B793" s="383"/>
      <c r="C793" s="384"/>
      <c r="D793" s="385">
        <v>4655</v>
      </c>
      <c r="E793" s="385" t="s">
        <v>1162</v>
      </c>
      <c r="F793" s="386">
        <v>0</v>
      </c>
      <c r="G793" s="501">
        <v>20000</v>
      </c>
      <c r="H793" s="501">
        <v>30000</v>
      </c>
      <c r="I793" s="501">
        <v>30000</v>
      </c>
      <c r="J793" s="501">
        <v>30000</v>
      </c>
    </row>
    <row r="794" spans="1:10" ht="25.5">
      <c r="A794" s="359"/>
      <c r="B794" s="427">
        <v>1183</v>
      </c>
      <c r="C794" s="401">
        <v>32001</v>
      </c>
      <c r="D794" s="401"/>
      <c r="E794" s="402" t="s">
        <v>761</v>
      </c>
      <c r="F794" s="440">
        <f>SUM(F795,F797,F799,F801,F803,F805)</f>
        <v>259946.66999999998</v>
      </c>
      <c r="G794" s="523">
        <f>SUM(G795,G797,G799,G801,G803,G805)</f>
        <v>0</v>
      </c>
      <c r="H794" s="523">
        <v>0</v>
      </c>
      <c r="I794" s="523">
        <v>0</v>
      </c>
      <c r="J794" s="523">
        <v>0</v>
      </c>
    </row>
    <row r="795" spans="1:10" ht="25.5">
      <c r="A795" s="359"/>
      <c r="B795" s="373"/>
      <c r="C795" s="371"/>
      <c r="D795" s="371"/>
      <c r="E795" s="406" t="s">
        <v>24</v>
      </c>
      <c r="F795" s="407">
        <v>11982.5</v>
      </c>
      <c r="G795" s="506"/>
      <c r="H795" s="506"/>
      <c r="I795" s="506"/>
      <c r="J795" s="506"/>
    </row>
    <row r="796" spans="1:10">
      <c r="A796" s="359"/>
      <c r="B796" s="427"/>
      <c r="C796" s="401"/>
      <c r="D796" s="401"/>
      <c r="E796" s="406"/>
      <c r="F796" s="440"/>
      <c r="G796" s="523"/>
      <c r="H796" s="523"/>
      <c r="I796" s="523"/>
      <c r="J796" s="523"/>
    </row>
    <row r="797" spans="1:10" ht="25.5">
      <c r="A797" s="359"/>
      <c r="B797" s="373"/>
      <c r="C797" s="371"/>
      <c r="D797" s="371"/>
      <c r="E797" s="406" t="s">
        <v>1163</v>
      </c>
      <c r="F797" s="407">
        <v>28487.260000000002</v>
      </c>
      <c r="G797" s="506"/>
      <c r="H797" s="506"/>
      <c r="I797" s="506"/>
      <c r="J797" s="506"/>
    </row>
    <row r="798" spans="1:10">
      <c r="A798" s="359"/>
      <c r="B798" s="427"/>
      <c r="C798" s="401"/>
      <c r="D798" s="401"/>
      <c r="E798" s="406"/>
      <c r="F798" s="440"/>
      <c r="G798" s="523"/>
      <c r="H798" s="523"/>
      <c r="I798" s="523"/>
      <c r="J798" s="523"/>
    </row>
    <row r="799" spans="1:10">
      <c r="A799" s="359"/>
      <c r="B799" s="373"/>
      <c r="C799" s="371"/>
      <c r="D799" s="371"/>
      <c r="E799" s="406" t="s">
        <v>1141</v>
      </c>
      <c r="F799" s="407">
        <v>63994.130000000005</v>
      </c>
      <c r="G799" s="506"/>
      <c r="H799" s="506"/>
      <c r="I799" s="506"/>
      <c r="J799" s="506"/>
    </row>
    <row r="800" spans="1:10">
      <c r="A800" s="359"/>
      <c r="B800" s="427"/>
      <c r="C800" s="401"/>
      <c r="D800" s="401"/>
      <c r="E800" s="406"/>
      <c r="F800" s="440"/>
      <c r="G800" s="523"/>
      <c r="H800" s="523"/>
      <c r="I800" s="523"/>
      <c r="J800" s="523"/>
    </row>
    <row r="801" spans="1:10">
      <c r="A801" s="359"/>
      <c r="B801" s="373"/>
      <c r="C801" s="371"/>
      <c r="D801" s="371"/>
      <c r="E801" s="406" t="s">
        <v>1143</v>
      </c>
      <c r="F801" s="407">
        <v>42336.9</v>
      </c>
      <c r="G801" s="506"/>
      <c r="H801" s="506"/>
      <c r="I801" s="506"/>
      <c r="J801" s="506"/>
    </row>
    <row r="802" spans="1:10">
      <c r="A802" s="359"/>
      <c r="B802" s="427"/>
      <c r="C802" s="401"/>
      <c r="D802" s="401"/>
      <c r="E802" s="406"/>
      <c r="F802" s="440"/>
      <c r="G802" s="523"/>
      <c r="H802" s="523"/>
      <c r="I802" s="523"/>
      <c r="J802" s="523"/>
    </row>
    <row r="803" spans="1:10">
      <c r="A803" s="359"/>
      <c r="B803" s="373"/>
      <c r="C803" s="371"/>
      <c r="D803" s="371"/>
      <c r="E803" s="406" t="s">
        <v>1144</v>
      </c>
      <c r="F803" s="407">
        <v>30515.18</v>
      </c>
      <c r="G803" s="506"/>
      <c r="H803" s="506"/>
      <c r="I803" s="506"/>
      <c r="J803" s="506"/>
    </row>
    <row r="804" spans="1:10">
      <c r="A804" s="359"/>
      <c r="B804" s="427"/>
      <c r="C804" s="401"/>
      <c r="D804" s="401"/>
      <c r="E804" s="406"/>
      <c r="F804" s="440"/>
      <c r="G804" s="523"/>
      <c r="H804" s="523"/>
      <c r="I804" s="523"/>
      <c r="J804" s="523"/>
    </row>
    <row r="805" spans="1:10">
      <c r="A805" s="359"/>
      <c r="B805" s="373"/>
      <c r="C805" s="371"/>
      <c r="D805" s="371"/>
      <c r="E805" s="406" t="s">
        <v>61</v>
      </c>
      <c r="F805" s="407">
        <v>82630.7</v>
      </c>
      <c r="G805" s="506"/>
      <c r="H805" s="506"/>
      <c r="I805" s="506"/>
      <c r="J805" s="506"/>
    </row>
    <row r="806" spans="1:10">
      <c r="A806" s="359"/>
      <c r="B806" s="427"/>
      <c r="C806" s="401"/>
      <c r="D806" s="401"/>
      <c r="E806" s="406"/>
      <c r="F806" s="440"/>
      <c r="G806" s="523"/>
      <c r="H806" s="523"/>
      <c r="I806" s="523"/>
      <c r="J806" s="523"/>
    </row>
    <row r="807" spans="1:10" ht="25.5">
      <c r="A807" s="359"/>
      <c r="B807" s="427">
        <v>1183</v>
      </c>
      <c r="C807" s="401">
        <v>32002</v>
      </c>
      <c r="D807" s="401"/>
      <c r="E807" s="402" t="s">
        <v>762</v>
      </c>
      <c r="F807" s="440">
        <f>+F808+F809</f>
        <v>690509.08</v>
      </c>
      <c r="G807" s="523">
        <f>+G808+G809</f>
        <v>214509</v>
      </c>
      <c r="H807" s="524">
        <f>+H808+H809</f>
        <v>60312.592628191502</v>
      </c>
      <c r="I807" s="524">
        <f>+I808+I809</f>
        <v>60312.592628191502</v>
      </c>
      <c r="J807" s="523">
        <f>+J808+J809</f>
        <v>652223.10244228726</v>
      </c>
    </row>
    <row r="808" spans="1:10" s="387" customFormat="1">
      <c r="A808" s="382"/>
      <c r="B808" s="383"/>
      <c r="C808" s="384"/>
      <c r="D808" s="385">
        <v>5112</v>
      </c>
      <c r="E808" s="385" t="s">
        <v>1130</v>
      </c>
      <c r="F808" s="398">
        <v>690509.08</v>
      </c>
      <c r="G808" s="504">
        <v>123921.9</v>
      </c>
      <c r="H808" s="504">
        <v>60312.592628191502</v>
      </c>
      <c r="I808" s="398">
        <v>60312.592628191502</v>
      </c>
      <c r="J808" s="398">
        <v>652223.10244228726</v>
      </c>
    </row>
    <row r="809" spans="1:10" s="387" customFormat="1">
      <c r="A809" s="382"/>
      <c r="B809" s="383"/>
      <c r="C809" s="384"/>
      <c r="D809" s="385">
        <v>5134</v>
      </c>
      <c r="E809" s="385" t="s">
        <v>1128</v>
      </c>
      <c r="F809" s="398"/>
      <c r="G809" s="504">
        <v>90587.1</v>
      </c>
      <c r="H809" s="504">
        <v>0</v>
      </c>
      <c r="I809" s="504">
        <v>0</v>
      </c>
      <c r="J809" s="504">
        <v>0</v>
      </c>
    </row>
    <row r="810" spans="1:10" s="394" customFormat="1" ht="38.25" hidden="1" outlineLevel="1">
      <c r="A810" s="408"/>
      <c r="B810" s="427">
        <v>1183</v>
      </c>
      <c r="C810" s="415">
        <v>32003</v>
      </c>
      <c r="D810" s="415"/>
      <c r="E810" s="438" t="s">
        <v>763</v>
      </c>
      <c r="F810" s="426">
        <v>3296482.93</v>
      </c>
      <c r="G810" s="514">
        <v>0</v>
      </c>
      <c r="H810" s="514">
        <v>0</v>
      </c>
      <c r="I810" s="514">
        <v>0</v>
      </c>
      <c r="J810" s="514">
        <v>0</v>
      </c>
    </row>
    <row r="811" spans="1:10" ht="38.25" collapsed="1">
      <c r="A811" s="359"/>
      <c r="B811" s="427">
        <v>1183</v>
      </c>
      <c r="C811" s="401">
        <v>32004</v>
      </c>
      <c r="D811" s="401"/>
      <c r="E811" s="402" t="s">
        <v>764</v>
      </c>
      <c r="F811" s="440">
        <f>+F812+F816</f>
        <v>72138.59</v>
      </c>
      <c r="G811" s="523">
        <f>+G812+G816</f>
        <v>128576.8</v>
      </c>
      <c r="H811" s="523">
        <f>+H812+H816</f>
        <v>0</v>
      </c>
      <c r="I811" s="523">
        <f>+I812+I816</f>
        <v>207715.27700000006</v>
      </c>
      <c r="J811" s="523">
        <f>+J812+J816</f>
        <v>207715.27700000006</v>
      </c>
    </row>
    <row r="812" spans="1:10" ht="25.5">
      <c r="A812" s="359"/>
      <c r="B812" s="373"/>
      <c r="C812" s="371"/>
      <c r="D812" s="421"/>
      <c r="E812" s="406" t="s">
        <v>1163</v>
      </c>
      <c r="F812" s="407">
        <f>+F813+F814+F815</f>
        <v>72138.59</v>
      </c>
      <c r="G812" s="506">
        <f>+G813</f>
        <v>103013.1</v>
      </c>
      <c r="H812" s="506"/>
      <c r="I812" s="506"/>
      <c r="J812" s="506"/>
    </row>
    <row r="813" spans="1:10" s="387" customFormat="1">
      <c r="A813" s="382"/>
      <c r="B813" s="383"/>
      <c r="C813" s="384"/>
      <c r="D813" s="385">
        <v>5113</v>
      </c>
      <c r="E813" s="384" t="s">
        <v>1127</v>
      </c>
      <c r="F813" s="398">
        <v>43370.51</v>
      </c>
      <c r="G813" s="504">
        <v>103013.1</v>
      </c>
      <c r="H813" s="504"/>
      <c r="I813" s="504"/>
      <c r="J813" s="504"/>
    </row>
    <row r="814" spans="1:10" s="387" customFormat="1">
      <c r="A814" s="382"/>
      <c r="B814" s="383"/>
      <c r="C814" s="384"/>
      <c r="D814" s="385">
        <v>5134</v>
      </c>
      <c r="E814" s="384" t="s">
        <v>1128</v>
      </c>
      <c r="F814" s="398">
        <v>5638.88</v>
      </c>
      <c r="G814" s="504"/>
      <c r="H814" s="504"/>
      <c r="I814" s="504"/>
      <c r="J814" s="504"/>
    </row>
    <row r="815" spans="1:10" s="387" customFormat="1" ht="38.25">
      <c r="A815" s="382"/>
      <c r="B815" s="383"/>
      <c r="C815" s="384"/>
      <c r="D815" s="385">
        <v>4655</v>
      </c>
      <c r="E815" s="384" t="s">
        <v>1162</v>
      </c>
      <c r="F815" s="398">
        <v>23129.200000000001</v>
      </c>
      <c r="G815" s="504"/>
      <c r="H815" s="504"/>
      <c r="I815" s="504"/>
      <c r="J815" s="504"/>
    </row>
    <row r="816" spans="1:10">
      <c r="A816" s="359"/>
      <c r="B816" s="373"/>
      <c r="C816" s="371"/>
      <c r="D816" s="421"/>
      <c r="E816" s="406" t="s">
        <v>1129</v>
      </c>
      <c r="F816" s="407">
        <f>+F817+F818</f>
        <v>0</v>
      </c>
      <c r="G816" s="506">
        <f>+G817+G818</f>
        <v>25563.7</v>
      </c>
      <c r="H816" s="506">
        <f>+H817+H818</f>
        <v>0</v>
      </c>
      <c r="I816" s="506">
        <f>+I817+I818</f>
        <v>207715.27700000006</v>
      </c>
      <c r="J816" s="506">
        <f>+J817+J818</f>
        <v>207715.27700000006</v>
      </c>
    </row>
    <row r="817" spans="1:10" s="387" customFormat="1">
      <c r="A817" s="382"/>
      <c r="B817" s="383"/>
      <c r="C817" s="384"/>
      <c r="D817" s="385">
        <v>5113</v>
      </c>
      <c r="E817" s="384" t="s">
        <v>1127</v>
      </c>
      <c r="F817" s="398"/>
      <c r="G817" s="504"/>
      <c r="H817" s="504">
        <v>0</v>
      </c>
      <c r="I817" s="504">
        <v>207715.27700000006</v>
      </c>
      <c r="J817" s="504">
        <v>207715.27700000006</v>
      </c>
    </row>
    <row r="818" spans="1:10" s="387" customFormat="1">
      <c r="A818" s="382"/>
      <c r="B818" s="383"/>
      <c r="C818" s="384"/>
      <c r="D818" s="385">
        <v>5134</v>
      </c>
      <c r="E818" s="384" t="s">
        <v>1128</v>
      </c>
      <c r="F818" s="398"/>
      <c r="G818" s="504">
        <v>25563.7</v>
      </c>
      <c r="H818" s="504"/>
      <c r="I818" s="504"/>
      <c r="J818" s="504"/>
    </row>
    <row r="819" spans="1:10" ht="38.25">
      <c r="A819" s="359"/>
      <c r="B819" s="427">
        <v>1183</v>
      </c>
      <c r="C819" s="401">
        <v>32007</v>
      </c>
      <c r="D819" s="401"/>
      <c r="E819" s="402" t="s">
        <v>765</v>
      </c>
      <c r="F819" s="441">
        <f>+F820+F822</f>
        <v>1415767.98</v>
      </c>
      <c r="G819" s="524">
        <f>+G820+G822</f>
        <v>492221.6</v>
      </c>
      <c r="H819" s="524">
        <f>+H820+H822</f>
        <v>513844.63393232005</v>
      </c>
      <c r="I819" s="524">
        <f>+I820+I822</f>
        <v>572121.36</v>
      </c>
      <c r="J819" s="523">
        <f>+J820+J822</f>
        <v>0</v>
      </c>
    </row>
    <row r="820" spans="1:10" ht="25.5">
      <c r="A820" s="359"/>
      <c r="B820" s="373"/>
      <c r="C820" s="371"/>
      <c r="D820" s="421"/>
      <c r="E820" s="406" t="s">
        <v>1123</v>
      </c>
      <c r="F820" s="407">
        <f>+F821</f>
        <v>0</v>
      </c>
      <c r="G820" s="506">
        <f>+G821</f>
        <v>195326</v>
      </c>
      <c r="H820" s="506">
        <f>+H821</f>
        <v>80130.363977919973</v>
      </c>
      <c r="I820" s="506">
        <f>+I821</f>
        <v>0</v>
      </c>
      <c r="J820" s="506">
        <f>+J821</f>
        <v>0</v>
      </c>
    </row>
    <row r="821" spans="1:10" s="387" customFormat="1">
      <c r="A821" s="382"/>
      <c r="B821" s="383"/>
      <c r="C821" s="384"/>
      <c r="D821" s="385">
        <v>5112</v>
      </c>
      <c r="E821" s="385" t="s">
        <v>1130</v>
      </c>
      <c r="F821" s="398">
        <v>0</v>
      </c>
      <c r="G821" s="504">
        <v>195326</v>
      </c>
      <c r="H821" s="504">
        <v>80130.363977919973</v>
      </c>
      <c r="I821" s="504">
        <v>0</v>
      </c>
      <c r="J821" s="504">
        <v>0</v>
      </c>
    </row>
    <row r="822" spans="1:10">
      <c r="A822" s="359"/>
      <c r="B822" s="373"/>
      <c r="C822" s="371"/>
      <c r="D822" s="421"/>
      <c r="E822" s="406" t="s">
        <v>1129</v>
      </c>
      <c r="F822" s="407">
        <f>+F823+F824</f>
        <v>1415767.98</v>
      </c>
      <c r="G822" s="506">
        <f>+G823+G824</f>
        <v>296895.59999999998</v>
      </c>
      <c r="H822" s="506">
        <f>+H823+H824</f>
        <v>433714.26995440008</v>
      </c>
      <c r="I822" s="506">
        <f>+I823+I824</f>
        <v>572121.36</v>
      </c>
      <c r="J822" s="506">
        <f>+J823+J824</f>
        <v>0</v>
      </c>
    </row>
    <row r="823" spans="1:10" s="387" customFormat="1">
      <c r="A823" s="382"/>
      <c r="B823" s="383"/>
      <c r="C823" s="384"/>
      <c r="D823" s="385">
        <v>5112</v>
      </c>
      <c r="E823" s="385" t="s">
        <v>1130</v>
      </c>
      <c r="F823" s="398">
        <v>1415767.98</v>
      </c>
      <c r="G823" s="504">
        <v>281640.59999999998</v>
      </c>
      <c r="H823" s="504">
        <v>433714.26995440008</v>
      </c>
      <c r="I823" s="504">
        <v>572121.36</v>
      </c>
      <c r="J823" s="504">
        <v>0</v>
      </c>
    </row>
    <row r="824" spans="1:10" s="387" customFormat="1">
      <c r="A824" s="382"/>
      <c r="B824" s="383"/>
      <c r="C824" s="384"/>
      <c r="D824" s="385">
        <v>5134</v>
      </c>
      <c r="E824" s="385" t="s">
        <v>1128</v>
      </c>
      <c r="F824" s="398"/>
      <c r="G824" s="504">
        <v>15255</v>
      </c>
      <c r="H824" s="504"/>
      <c r="I824" s="504"/>
      <c r="J824" s="504"/>
    </row>
    <row r="825" spans="1:10" ht="38.25">
      <c r="A825" s="359"/>
      <c r="B825" s="427">
        <v>1183</v>
      </c>
      <c r="C825" s="401">
        <v>32009</v>
      </c>
      <c r="D825" s="401"/>
      <c r="E825" s="402" t="s">
        <v>766</v>
      </c>
      <c r="F825" s="440">
        <v>1050327.8500000001</v>
      </c>
      <c r="G825" s="523">
        <v>632025.1</v>
      </c>
      <c r="H825" s="524">
        <f>+H826</f>
        <v>81401.239999999991</v>
      </c>
      <c r="I825" s="524">
        <f>+I826</f>
        <v>122101.86</v>
      </c>
      <c r="J825" s="523">
        <f>+J826</f>
        <v>0</v>
      </c>
    </row>
    <row r="826" spans="1:10">
      <c r="A826" s="359"/>
      <c r="B826" s="373"/>
      <c r="C826" s="371"/>
      <c r="D826" s="421"/>
      <c r="E826" s="406" t="s">
        <v>1129</v>
      </c>
      <c r="F826" s="407">
        <f>+F827+F828</f>
        <v>2225504.61</v>
      </c>
      <c r="G826" s="506">
        <f>+G827+G828</f>
        <v>281640.59999999998</v>
      </c>
      <c r="H826" s="506">
        <f>+H827+H828</f>
        <v>81401.239999999991</v>
      </c>
      <c r="I826" s="506">
        <f>+I827+I828</f>
        <v>122101.86</v>
      </c>
      <c r="J826" s="506">
        <f>+J827+J828</f>
        <v>0</v>
      </c>
    </row>
    <row r="827" spans="1:10" s="387" customFormat="1">
      <c r="A827" s="382"/>
      <c r="B827" s="383"/>
      <c r="C827" s="384"/>
      <c r="D827" s="385">
        <v>5113</v>
      </c>
      <c r="E827" s="385" t="s">
        <v>1127</v>
      </c>
      <c r="F827" s="398">
        <v>1415767.98</v>
      </c>
      <c r="G827" s="504">
        <v>281640.59999999998</v>
      </c>
      <c r="H827" s="504">
        <v>81401.239999999991</v>
      </c>
      <c r="I827" s="504">
        <v>122101.86</v>
      </c>
      <c r="J827" s="504">
        <v>0</v>
      </c>
    </row>
    <row r="828" spans="1:10" s="394" customFormat="1" ht="38.25" outlineLevel="1">
      <c r="A828" s="408"/>
      <c r="B828" s="427">
        <v>1183</v>
      </c>
      <c r="C828" s="415">
        <v>32012</v>
      </c>
      <c r="D828" s="415"/>
      <c r="E828" s="438" t="s">
        <v>767</v>
      </c>
      <c r="F828" s="426">
        <v>809736.63</v>
      </c>
      <c r="G828" s="514">
        <v>0</v>
      </c>
      <c r="H828" s="514">
        <v>0</v>
      </c>
      <c r="I828" s="514">
        <v>0</v>
      </c>
      <c r="J828" s="514">
        <v>0</v>
      </c>
    </row>
    <row r="829" spans="1:10" s="394" customFormat="1" ht="38.25" outlineLevel="1">
      <c r="A829" s="408"/>
      <c r="B829" s="427">
        <v>1183</v>
      </c>
      <c r="C829" s="415">
        <v>32013</v>
      </c>
      <c r="D829" s="415"/>
      <c r="E829" s="438" t="s">
        <v>768</v>
      </c>
      <c r="F829" s="426">
        <v>49940</v>
      </c>
      <c r="G829" s="514">
        <v>0</v>
      </c>
      <c r="H829" s="514">
        <v>0</v>
      </c>
      <c r="I829" s="514">
        <v>0</v>
      </c>
      <c r="J829" s="514">
        <v>0</v>
      </c>
    </row>
    <row r="830" spans="1:10" s="405" customFormat="1">
      <c r="A830" s="574">
        <v>15</v>
      </c>
      <c r="B830" s="555">
        <v>1189</v>
      </c>
      <c r="C830" s="605" t="s">
        <v>640</v>
      </c>
      <c r="D830" s="620"/>
      <c r="E830" s="607"/>
      <c r="F830" s="376">
        <f>SUM(F831,F841,F846)</f>
        <v>0</v>
      </c>
      <c r="G830" s="497">
        <f>SUM(G831,G841,G846)</f>
        <v>10286163.600000001</v>
      </c>
      <c r="H830" s="497">
        <f>SUM(H831,H841,H846)</f>
        <v>11887818.12335</v>
      </c>
      <c r="I830" s="497">
        <f>SUM(I831,I841,I846)</f>
        <v>8869971.4467499983</v>
      </c>
      <c r="J830" s="497">
        <f>SUM(J831,J841,J846)</f>
        <v>8287679.5000000009</v>
      </c>
    </row>
    <row r="831" spans="1:10" ht="38.25">
      <c r="A831" s="359"/>
      <c r="B831" s="378">
        <v>1189</v>
      </c>
      <c r="C831" s="371" t="s">
        <v>70</v>
      </c>
      <c r="D831" s="371"/>
      <c r="E831" s="380" t="s">
        <v>641</v>
      </c>
      <c r="F831" s="391">
        <f>+F832</f>
        <v>0</v>
      </c>
      <c r="G831" s="502">
        <f t="shared" ref="G831:J831" si="111">+G832</f>
        <v>224661</v>
      </c>
      <c r="H831" s="502">
        <f t="shared" si="111"/>
        <v>266731</v>
      </c>
      <c r="I831" s="502">
        <f t="shared" si="111"/>
        <v>0</v>
      </c>
      <c r="J831" s="502">
        <f t="shared" si="111"/>
        <v>0</v>
      </c>
    </row>
    <row r="832" spans="1:10" ht="25.5">
      <c r="A832" s="359"/>
      <c r="B832" s="373"/>
      <c r="C832" s="371"/>
      <c r="D832" s="421"/>
      <c r="E832" s="406" t="s">
        <v>1140</v>
      </c>
      <c r="F832" s="407">
        <f>+F833+F834+F835</f>
        <v>0</v>
      </c>
      <c r="G832" s="506">
        <f>+G833+G834+G835</f>
        <v>224661</v>
      </c>
      <c r="H832" s="506">
        <f t="shared" ref="H832:J832" si="112">+H833+H834+H835</f>
        <v>266731</v>
      </c>
      <c r="I832" s="506">
        <f t="shared" si="112"/>
        <v>0</v>
      </c>
      <c r="J832" s="506">
        <f t="shared" si="112"/>
        <v>0</v>
      </c>
    </row>
    <row r="833" spans="1:10" s="387" customFormat="1">
      <c r="A833" s="382"/>
      <c r="B833" s="383"/>
      <c r="C833" s="384"/>
      <c r="D833" s="385">
        <v>4111</v>
      </c>
      <c r="E833" s="385" t="s">
        <v>1136</v>
      </c>
      <c r="F833" s="398"/>
      <c r="G833" s="504">
        <v>181115</v>
      </c>
      <c r="H833" s="504">
        <v>217440</v>
      </c>
      <c r="I833" s="504">
        <v>0</v>
      </c>
      <c r="J833" s="504">
        <v>0</v>
      </c>
    </row>
    <row r="834" spans="1:10" s="387" customFormat="1">
      <c r="A834" s="382"/>
      <c r="B834" s="383"/>
      <c r="C834" s="384"/>
      <c r="D834" s="385">
        <v>4200</v>
      </c>
      <c r="E834" s="385" t="s">
        <v>1137</v>
      </c>
      <c r="F834" s="398"/>
      <c r="G834" s="504">
        <v>28546</v>
      </c>
      <c r="H834" s="504">
        <v>30961</v>
      </c>
      <c r="I834" s="504">
        <v>0</v>
      </c>
      <c r="J834" s="504">
        <v>0</v>
      </c>
    </row>
    <row r="835" spans="1:10" s="387" customFormat="1">
      <c r="A835" s="382"/>
      <c r="B835" s="383"/>
      <c r="C835" s="384"/>
      <c r="D835" s="385">
        <v>4861</v>
      </c>
      <c r="E835" s="385" t="s">
        <v>1138</v>
      </c>
      <c r="F835" s="398"/>
      <c r="G835" s="504">
        <v>15000</v>
      </c>
      <c r="H835" s="504">
        <v>18330</v>
      </c>
      <c r="I835" s="504">
        <v>0</v>
      </c>
      <c r="J835" s="504">
        <v>0</v>
      </c>
    </row>
    <row r="836" spans="1:10" ht="38.25" outlineLevel="1">
      <c r="A836" s="359"/>
      <c r="B836" s="378">
        <v>1189</v>
      </c>
      <c r="C836" s="568">
        <v>11002</v>
      </c>
      <c r="D836" s="371"/>
      <c r="E836" s="380" t="s">
        <v>1198</v>
      </c>
      <c r="F836" s="391">
        <f>+F837</f>
        <v>0</v>
      </c>
      <c r="G836" s="502">
        <f t="shared" ref="G836" si="113">+G837</f>
        <v>0</v>
      </c>
      <c r="H836" s="502">
        <f t="shared" ref="H836" si="114">+H837</f>
        <v>0</v>
      </c>
      <c r="I836" s="502">
        <f t="shared" ref="I836" si="115">+I837</f>
        <v>121245.4</v>
      </c>
      <c r="J836" s="502">
        <f t="shared" ref="J836" si="116">+J837</f>
        <v>0</v>
      </c>
    </row>
    <row r="837" spans="1:10" ht="25.5" outlineLevel="1">
      <c r="A837" s="359"/>
      <c r="B837" s="373"/>
      <c r="C837" s="568" t="s">
        <v>465</v>
      </c>
      <c r="D837" s="421"/>
      <c r="E837" s="406" t="s">
        <v>1140</v>
      </c>
      <c r="F837" s="407">
        <f>+F838+F839+F840</f>
        <v>0</v>
      </c>
      <c r="G837" s="506">
        <f>+G838+G839+G840</f>
        <v>0</v>
      </c>
      <c r="H837" s="506">
        <f t="shared" ref="H837" si="117">+H838+H839+H840</f>
        <v>0</v>
      </c>
      <c r="I837" s="506">
        <f t="shared" ref="I837" si="118">+I838+I839+I840</f>
        <v>121245.4</v>
      </c>
      <c r="J837" s="506">
        <f t="shared" ref="J837" si="119">+J838+J839+J840</f>
        <v>0</v>
      </c>
    </row>
    <row r="838" spans="1:10" s="387" customFormat="1" outlineLevel="1">
      <c r="A838" s="382"/>
      <c r="B838" s="383"/>
      <c r="C838" s="384"/>
      <c r="D838" s="385">
        <v>4111</v>
      </c>
      <c r="E838" s="385" t="s">
        <v>1136</v>
      </c>
      <c r="F838" s="398"/>
      <c r="G838" s="504">
        <v>0</v>
      </c>
      <c r="H838" s="504">
        <v>0</v>
      </c>
      <c r="I838" s="504">
        <v>101472</v>
      </c>
      <c r="J838" s="504">
        <v>0</v>
      </c>
    </row>
    <row r="839" spans="1:10" s="387" customFormat="1" outlineLevel="1">
      <c r="A839" s="382"/>
      <c r="B839" s="383"/>
      <c r="C839" s="384"/>
      <c r="D839" s="385">
        <v>4200</v>
      </c>
      <c r="E839" s="385" t="s">
        <v>1242</v>
      </c>
      <c r="F839" s="398"/>
      <c r="G839" s="504">
        <v>0</v>
      </c>
      <c r="H839" s="504">
        <v>0</v>
      </c>
      <c r="I839" s="504">
        <v>12219.2</v>
      </c>
      <c r="J839" s="504">
        <v>0</v>
      </c>
    </row>
    <row r="840" spans="1:10" s="387" customFormat="1" outlineLevel="1">
      <c r="A840" s="382"/>
      <c r="B840" s="383"/>
      <c r="C840" s="384"/>
      <c r="D840" s="385">
        <v>4861</v>
      </c>
      <c r="E840" s="385" t="s">
        <v>1138</v>
      </c>
      <c r="F840" s="398"/>
      <c r="G840" s="504">
        <v>0</v>
      </c>
      <c r="H840" s="504">
        <v>0</v>
      </c>
      <c r="I840" s="504">
        <v>7554.2</v>
      </c>
      <c r="J840" s="504">
        <v>0</v>
      </c>
    </row>
    <row r="841" spans="1:10" s="394" customFormat="1" ht="63.75">
      <c r="A841" s="408"/>
      <c r="B841" s="427">
        <v>1189</v>
      </c>
      <c r="C841" s="432" t="s">
        <v>257</v>
      </c>
      <c r="D841" s="432"/>
      <c r="E841" s="438" t="s">
        <v>769</v>
      </c>
      <c r="F841" s="443">
        <f t="shared" ref="F841:I841" si="120">+F842</f>
        <v>0</v>
      </c>
      <c r="G841" s="526">
        <f t="shared" si="120"/>
        <v>4736773.7</v>
      </c>
      <c r="H841" s="526">
        <f t="shared" si="120"/>
        <v>1808787.12335</v>
      </c>
      <c r="I841" s="526">
        <f t="shared" si="120"/>
        <v>33794.1</v>
      </c>
      <c r="J841" s="514">
        <f>+J842</f>
        <v>0</v>
      </c>
    </row>
    <row r="842" spans="1:10" ht="25.5">
      <c r="A842" s="408"/>
      <c r="B842" s="373"/>
      <c r="C842" s="421"/>
      <c r="D842" s="421"/>
      <c r="E842" s="428" t="s">
        <v>1140</v>
      </c>
      <c r="F842" s="545">
        <f t="shared" ref="F842" si="121">+F843+F844+F845</f>
        <v>0</v>
      </c>
      <c r="G842" s="507">
        <f t="shared" ref="G842" si="122">+G843+G844+G845</f>
        <v>4736773.7</v>
      </c>
      <c r="H842" s="507">
        <f t="shared" ref="H842" si="123">+H843+H844+H845</f>
        <v>1808787.12335</v>
      </c>
      <c r="I842" s="507">
        <f t="shared" ref="I842" si="124">+I843+I844+I845</f>
        <v>33794.1</v>
      </c>
      <c r="J842" s="507">
        <f t="shared" ref="J842" si="125">+J843+J844+J845</f>
        <v>0</v>
      </c>
    </row>
    <row r="843" spans="1:10" s="387" customFormat="1">
      <c r="A843" s="395"/>
      <c r="B843" s="396"/>
      <c r="C843" s="385"/>
      <c r="D843" s="385">
        <v>5112</v>
      </c>
      <c r="E843" s="385" t="s">
        <v>1130</v>
      </c>
      <c r="F843" s="389"/>
      <c r="G843" s="501">
        <v>4568893.9000000004</v>
      </c>
      <c r="H843" s="501">
        <v>1729427.12335</v>
      </c>
      <c r="I843" s="501">
        <v>0</v>
      </c>
      <c r="J843" s="501">
        <v>0</v>
      </c>
    </row>
    <row r="844" spans="1:10" s="387" customFormat="1">
      <c r="A844" s="395"/>
      <c r="B844" s="396"/>
      <c r="C844" s="385"/>
      <c r="D844" s="385">
        <v>5122</v>
      </c>
      <c r="E844" s="385" t="s">
        <v>1199</v>
      </c>
      <c r="F844" s="389"/>
      <c r="G844" s="501"/>
      <c r="H844" s="501">
        <v>0</v>
      </c>
      <c r="I844" s="501">
        <v>15704.1</v>
      </c>
      <c r="J844" s="501">
        <v>0</v>
      </c>
    </row>
    <row r="845" spans="1:10" s="387" customFormat="1">
      <c r="A845" s="395"/>
      <c r="B845" s="396"/>
      <c r="C845" s="385"/>
      <c r="D845" s="385">
        <v>5134</v>
      </c>
      <c r="E845" s="385" t="s">
        <v>1128</v>
      </c>
      <c r="F845" s="389"/>
      <c r="G845" s="501">
        <v>167879.8</v>
      </c>
      <c r="H845" s="501">
        <v>79360</v>
      </c>
      <c r="I845" s="501">
        <v>18090</v>
      </c>
      <c r="J845" s="501">
        <v>0</v>
      </c>
    </row>
    <row r="846" spans="1:10" ht="63.75">
      <c r="A846" s="408"/>
      <c r="B846" s="427">
        <v>1189</v>
      </c>
      <c r="C846" s="432" t="s">
        <v>770</v>
      </c>
      <c r="D846" s="432"/>
      <c r="E846" s="438" t="s">
        <v>771</v>
      </c>
      <c r="F846" s="426">
        <f>+F847</f>
        <v>0</v>
      </c>
      <c r="G846" s="514">
        <f t="shared" ref="G846:J846" si="126">+G847</f>
        <v>5324728.9000000004</v>
      </c>
      <c r="H846" s="514">
        <f t="shared" si="126"/>
        <v>9812300</v>
      </c>
      <c r="I846" s="514">
        <f t="shared" si="126"/>
        <v>8836177.3467499986</v>
      </c>
      <c r="J846" s="514">
        <f t="shared" si="126"/>
        <v>8287679.5000000009</v>
      </c>
    </row>
    <row r="847" spans="1:10" ht="25.5">
      <c r="A847" s="408"/>
      <c r="B847" s="373"/>
      <c r="C847" s="421"/>
      <c r="D847" s="421"/>
      <c r="E847" s="428" t="s">
        <v>1140</v>
      </c>
      <c r="F847" s="545">
        <f>+F848+F849</f>
        <v>0</v>
      </c>
      <c r="G847" s="507">
        <f t="shared" ref="G847:J847" si="127">+G848+G849</f>
        <v>5324728.9000000004</v>
      </c>
      <c r="H847" s="507">
        <f t="shared" si="127"/>
        <v>9812300</v>
      </c>
      <c r="I847" s="507">
        <f t="shared" si="127"/>
        <v>8836177.3467499986</v>
      </c>
      <c r="J847" s="507">
        <f t="shared" si="127"/>
        <v>8287679.5000000009</v>
      </c>
    </row>
    <row r="848" spans="1:10" s="387" customFormat="1">
      <c r="A848" s="395"/>
      <c r="B848" s="396"/>
      <c r="C848" s="385"/>
      <c r="D848" s="385">
        <v>5112</v>
      </c>
      <c r="E848" s="385" t="s">
        <v>1130</v>
      </c>
      <c r="F848" s="389"/>
      <c r="G848" s="501">
        <v>5324728.9000000004</v>
      </c>
      <c r="H848" s="501">
        <v>9812300</v>
      </c>
      <c r="I848" s="501">
        <v>8756818.3467499986</v>
      </c>
      <c r="J848" s="501">
        <v>8248000.0000000009</v>
      </c>
    </row>
    <row r="849" spans="1:10" s="387" customFormat="1">
      <c r="A849" s="395"/>
      <c r="B849" s="396"/>
      <c r="C849" s="385"/>
      <c r="D849" s="385">
        <v>5134</v>
      </c>
      <c r="E849" s="385" t="s">
        <v>1128</v>
      </c>
      <c r="F849" s="389"/>
      <c r="G849" s="501">
        <v>0</v>
      </c>
      <c r="H849" s="501">
        <v>0</v>
      </c>
      <c r="I849" s="501">
        <v>79359</v>
      </c>
      <c r="J849" s="501">
        <v>39679.5</v>
      </c>
    </row>
    <row r="850" spans="1:10" s="405" customFormat="1">
      <c r="A850" s="574">
        <v>16</v>
      </c>
      <c r="B850" s="555">
        <v>1192</v>
      </c>
      <c r="C850" s="605" t="s">
        <v>642</v>
      </c>
      <c r="D850" s="620"/>
      <c r="E850" s="607"/>
      <c r="F850" s="376">
        <f>SUM(F851,F853,F856,F857,F861,F863,F890,F892,F893,F918,F923,F927,F928,F929,F934)</f>
        <v>6975046.5799999982</v>
      </c>
      <c r="G850" s="497">
        <f>SUM(G851,G853,G856,G857,G861,G863,G890,G892,G893,G918,G923,G927,G928,G929,G934)</f>
        <v>12050794.799999999</v>
      </c>
      <c r="H850" s="497">
        <f t="shared" ref="H850:J850" si="128">SUM(H851,H853,H856,H857,H861,H863,H890,H892,H893,H918,H923,H927,H928,H929,H934)</f>
        <v>25853769.095353831</v>
      </c>
      <c r="I850" s="497">
        <f t="shared" si="128"/>
        <v>33528721.299999997</v>
      </c>
      <c r="J850" s="497">
        <f t="shared" si="128"/>
        <v>35796325.508098491</v>
      </c>
    </row>
    <row r="851" spans="1:10" ht="38.25">
      <c r="A851" s="408"/>
      <c r="B851" s="373">
        <v>1192</v>
      </c>
      <c r="C851" s="421">
        <v>11001</v>
      </c>
      <c r="D851" s="421"/>
      <c r="E851" s="393" t="s">
        <v>643</v>
      </c>
      <c r="F851" s="388">
        <f>+F852</f>
        <v>199405.4</v>
      </c>
      <c r="G851" s="500">
        <f>+G852</f>
        <v>199405.4</v>
      </c>
      <c r="H851" s="500">
        <f>+H852</f>
        <v>218280.8</v>
      </c>
      <c r="I851" s="500">
        <f>+I852</f>
        <v>219664.8</v>
      </c>
      <c r="J851" s="500">
        <f>+J852</f>
        <v>199405.4</v>
      </c>
    </row>
    <row r="852" spans="1:10" s="387" customFormat="1">
      <c r="A852" s="395"/>
      <c r="B852" s="396"/>
      <c r="C852" s="385"/>
      <c r="D852" s="385">
        <v>4639</v>
      </c>
      <c r="E852" s="385" t="s">
        <v>1119</v>
      </c>
      <c r="F852" s="389">
        <v>199405.4</v>
      </c>
      <c r="G852" s="501">
        <v>199405.4</v>
      </c>
      <c r="H852" s="501">
        <v>218280.8</v>
      </c>
      <c r="I852" s="501">
        <v>219664.8</v>
      </c>
      <c r="J852" s="501">
        <v>199405.4</v>
      </c>
    </row>
    <row r="853" spans="1:10" ht="51">
      <c r="A853" s="408"/>
      <c r="B853" s="373">
        <v>1192</v>
      </c>
      <c r="C853" s="421">
        <v>11003</v>
      </c>
      <c r="D853" s="421"/>
      <c r="E853" s="393" t="s">
        <v>644</v>
      </c>
      <c r="F853" s="388">
        <f t="shared" ref="F853:J854" si="129">+F854</f>
        <v>9027.2000000000007</v>
      </c>
      <c r="G853" s="500">
        <f t="shared" si="129"/>
        <v>45010.7</v>
      </c>
      <c r="H853" s="500">
        <f t="shared" si="129"/>
        <v>45010.7</v>
      </c>
      <c r="I853" s="500">
        <f t="shared" si="129"/>
        <v>45010.7</v>
      </c>
      <c r="J853" s="500">
        <f t="shared" si="129"/>
        <v>45010.7</v>
      </c>
    </row>
    <row r="854" spans="1:10" ht="38.25">
      <c r="A854" s="408"/>
      <c r="B854" s="373"/>
      <c r="C854" s="421"/>
      <c r="D854" s="421"/>
      <c r="E854" s="428" t="s">
        <v>1131</v>
      </c>
      <c r="F854" s="388">
        <f t="shared" si="129"/>
        <v>9027.2000000000007</v>
      </c>
      <c r="G854" s="500">
        <f t="shared" si="129"/>
        <v>45010.7</v>
      </c>
      <c r="H854" s="500">
        <f t="shared" si="129"/>
        <v>45010.7</v>
      </c>
      <c r="I854" s="500">
        <f t="shared" si="129"/>
        <v>45010.7</v>
      </c>
      <c r="J854" s="500">
        <f t="shared" si="129"/>
        <v>45010.7</v>
      </c>
    </row>
    <row r="855" spans="1:10" s="387" customFormat="1">
      <c r="A855" s="395"/>
      <c r="B855" s="396"/>
      <c r="C855" s="385"/>
      <c r="D855" s="385">
        <v>4639</v>
      </c>
      <c r="E855" s="385" t="s">
        <v>1119</v>
      </c>
      <c r="F855" s="389">
        <v>9027.2000000000007</v>
      </c>
      <c r="G855" s="501">
        <v>45010.7</v>
      </c>
      <c r="H855" s="501">
        <v>45010.7</v>
      </c>
      <c r="I855" s="501">
        <v>45010.7</v>
      </c>
      <c r="J855" s="501">
        <v>45010.7</v>
      </c>
    </row>
    <row r="856" spans="1:10" s="394" customFormat="1" ht="25.5" outlineLevel="1">
      <c r="A856" s="408"/>
      <c r="B856" s="373">
        <v>1192</v>
      </c>
      <c r="C856" s="421">
        <v>11004</v>
      </c>
      <c r="D856" s="421"/>
      <c r="E856" s="393" t="s">
        <v>645</v>
      </c>
      <c r="F856" s="388">
        <v>102038.46</v>
      </c>
      <c r="G856" s="571">
        <v>0</v>
      </c>
      <c r="H856" s="500">
        <v>0</v>
      </c>
      <c r="I856" s="500">
        <v>0</v>
      </c>
      <c r="J856" s="500">
        <v>0</v>
      </c>
    </row>
    <row r="857" spans="1:10" ht="25.5">
      <c r="A857" s="408"/>
      <c r="B857" s="373">
        <v>1192</v>
      </c>
      <c r="C857" s="421">
        <v>11005</v>
      </c>
      <c r="D857" s="421"/>
      <c r="E857" s="393" t="s">
        <v>646</v>
      </c>
      <c r="F857" s="388">
        <f>+F858</f>
        <v>32876.14</v>
      </c>
      <c r="G857" s="500">
        <f>+G858</f>
        <v>52826.9</v>
      </c>
      <c r="H857" s="500">
        <v>52826.9</v>
      </c>
      <c r="I857" s="500">
        <v>52826.9</v>
      </c>
      <c r="J857" s="500">
        <v>52826.9</v>
      </c>
    </row>
    <row r="858" spans="1:10" ht="38.25">
      <c r="A858" s="408"/>
      <c r="B858" s="373"/>
      <c r="C858" s="421"/>
      <c r="D858" s="421"/>
      <c r="E858" s="428" t="s">
        <v>1131</v>
      </c>
      <c r="F858" s="545">
        <f>+F859+F860</f>
        <v>32876.14</v>
      </c>
      <c r="G858" s="507">
        <f>+G859+G860</f>
        <v>52826.9</v>
      </c>
      <c r="H858" s="507">
        <f>+H859+H860</f>
        <v>52826.9</v>
      </c>
      <c r="I858" s="507">
        <f>+I859+I860</f>
        <v>52826.9</v>
      </c>
      <c r="J858" s="507">
        <f>+J859+J860</f>
        <v>52826.9</v>
      </c>
    </row>
    <row r="859" spans="1:10" s="387" customFormat="1">
      <c r="A859" s="395"/>
      <c r="B859" s="396"/>
      <c r="C859" s="385"/>
      <c r="D859" s="385">
        <v>4639</v>
      </c>
      <c r="E859" s="385" t="s">
        <v>1119</v>
      </c>
      <c r="F859" s="389">
        <v>32876.14</v>
      </c>
      <c r="G859" s="501">
        <v>27826.9</v>
      </c>
      <c r="H859" s="501">
        <v>27826.9</v>
      </c>
      <c r="I859" s="501">
        <v>27826.9</v>
      </c>
      <c r="J859" s="501">
        <v>27826.9</v>
      </c>
    </row>
    <row r="860" spans="1:10" s="387" customFormat="1">
      <c r="A860" s="395"/>
      <c r="B860" s="396"/>
      <c r="C860" s="385"/>
      <c r="D860" s="385">
        <v>4729</v>
      </c>
      <c r="E860" s="385" t="s">
        <v>1125</v>
      </c>
      <c r="F860" s="389"/>
      <c r="G860" s="501">
        <v>25000</v>
      </c>
      <c r="H860" s="501">
        <v>25000</v>
      </c>
      <c r="I860" s="501">
        <v>25000</v>
      </c>
      <c r="J860" s="501">
        <v>25000</v>
      </c>
    </row>
    <row r="861" spans="1:10" ht="25.5">
      <c r="A861" s="408"/>
      <c r="B861" s="373">
        <v>1192</v>
      </c>
      <c r="C861" s="421">
        <v>11006</v>
      </c>
      <c r="D861" s="421"/>
      <c r="E861" s="393" t="s">
        <v>647</v>
      </c>
      <c r="F861" s="388">
        <f>+F862</f>
        <v>401656.8</v>
      </c>
      <c r="G861" s="500">
        <f>+G862</f>
        <v>341748.5</v>
      </c>
      <c r="H861" s="500">
        <f>+H862</f>
        <v>442037.6</v>
      </c>
      <c r="I861" s="500">
        <f>+I862</f>
        <v>508037.7</v>
      </c>
      <c r="J861" s="500">
        <f>+J862</f>
        <v>558410</v>
      </c>
    </row>
    <row r="862" spans="1:10" s="387" customFormat="1">
      <c r="A862" s="395"/>
      <c r="B862" s="396"/>
      <c r="C862" s="385"/>
      <c r="D862" s="385">
        <v>4639</v>
      </c>
      <c r="E862" s="385" t="s">
        <v>1119</v>
      </c>
      <c r="F862" s="389">
        <v>401656.8</v>
      </c>
      <c r="G862" s="501">
        <v>341748.5</v>
      </c>
      <c r="H862" s="501">
        <v>442037.6</v>
      </c>
      <c r="I862" s="501">
        <v>508037.7</v>
      </c>
      <c r="J862" s="501">
        <v>558410</v>
      </c>
    </row>
    <row r="863" spans="1:10" ht="25.5">
      <c r="A863" s="408"/>
      <c r="B863" s="373">
        <v>1192</v>
      </c>
      <c r="C863" s="421">
        <v>11010</v>
      </c>
      <c r="D863" s="421"/>
      <c r="E863" s="393" t="s">
        <v>649</v>
      </c>
      <c r="F863" s="388">
        <f>SUM(F864,F866,F868,F870,F872,F874,F876,F878,F880,F882,F884,F886,F888)</f>
        <v>3242051.2099999995</v>
      </c>
      <c r="G863" s="500">
        <f>SUM(G864,G866,G868,G870,G872,G874,G876,G878,G880,G882,G884,G886,G888)</f>
        <v>3632513.3999999994</v>
      </c>
      <c r="H863" s="500">
        <f>SUM(H864,H866,H868,H870,H872,H874,H876,H878,H880,H882,H884,H886,H888)</f>
        <v>14439690</v>
      </c>
      <c r="I863" s="500">
        <f>SUM(I864,I866,I868,I870,I872,I874,I876,I878,I880,I882,I884,I886,I888)</f>
        <v>22738306.899999999</v>
      </c>
      <c r="J863" s="500">
        <f>SUM(J864,J866,J868,J870,J872,J874,J876,J878,J880,J882,J884,J886,J888)</f>
        <v>34864672.508098491</v>
      </c>
    </row>
    <row r="864" spans="1:10" ht="25.5" hidden="1">
      <c r="A864" s="408"/>
      <c r="B864" s="373"/>
      <c r="C864" s="385"/>
      <c r="D864" s="421"/>
      <c r="E864" s="428" t="s">
        <v>1140</v>
      </c>
      <c r="F864" s="545">
        <f>+F865</f>
        <v>350068.2</v>
      </c>
      <c r="G864" s="507">
        <f>+G865</f>
        <v>588864.19999999995</v>
      </c>
      <c r="H864" s="507">
        <f>+H865</f>
        <v>1705742</v>
      </c>
      <c r="I864" s="507">
        <f>+I865</f>
        <v>2699713</v>
      </c>
      <c r="J864" s="507">
        <f>+J865</f>
        <v>4140637</v>
      </c>
    </row>
    <row r="865" spans="1:10" s="387" customFormat="1" hidden="1">
      <c r="A865" s="395"/>
      <c r="B865" s="396"/>
      <c r="C865" s="385"/>
      <c r="D865" s="385">
        <v>4729</v>
      </c>
      <c r="E865" s="385" t="s">
        <v>1125</v>
      </c>
      <c r="F865" s="389">
        <v>350068.2</v>
      </c>
      <c r="G865" s="501">
        <v>588864.19999999995</v>
      </c>
      <c r="H865" s="501">
        <v>1705742</v>
      </c>
      <c r="I865" s="501">
        <v>2699713</v>
      </c>
      <c r="J865" s="501">
        <v>4140637</v>
      </c>
    </row>
    <row r="866" spans="1:10" ht="25.5" hidden="1">
      <c r="A866" s="408"/>
      <c r="B866" s="373"/>
      <c r="C866" s="421"/>
      <c r="D866" s="421"/>
      <c r="E866" s="428" t="s">
        <v>1123</v>
      </c>
      <c r="F866" s="545">
        <f>+F867</f>
        <v>1121874.1100000001</v>
      </c>
      <c r="G866" s="507">
        <f>+G867</f>
        <v>1290549.2</v>
      </c>
      <c r="H866" s="507">
        <f>+H867</f>
        <v>3495466</v>
      </c>
      <c r="I866" s="507">
        <f>+I867</f>
        <v>5101582</v>
      </c>
      <c r="J866" s="507">
        <f>+J867</f>
        <v>7358988</v>
      </c>
    </row>
    <row r="867" spans="1:10" s="387" customFormat="1" hidden="1">
      <c r="A867" s="395"/>
      <c r="B867" s="396"/>
      <c r="C867" s="385"/>
      <c r="D867" s="385">
        <v>4729</v>
      </c>
      <c r="E867" s="385" t="s">
        <v>1125</v>
      </c>
      <c r="F867" s="389">
        <v>1121874.1100000001</v>
      </c>
      <c r="G867" s="501">
        <v>1290549.2</v>
      </c>
      <c r="H867" s="501">
        <v>3495466</v>
      </c>
      <c r="I867" s="501">
        <v>5101582</v>
      </c>
      <c r="J867" s="501">
        <v>7358988</v>
      </c>
    </row>
    <row r="868" spans="1:10" hidden="1">
      <c r="A868" s="408"/>
      <c r="B868" s="373"/>
      <c r="C868" s="421"/>
      <c r="D868" s="421"/>
      <c r="E868" s="428" t="s">
        <v>1154</v>
      </c>
      <c r="F868" s="545">
        <f>+F869</f>
        <v>9868.8000000000011</v>
      </c>
      <c r="G868" s="507">
        <f>+G869</f>
        <v>15444.2</v>
      </c>
      <c r="H868" s="507">
        <f>+H869</f>
        <v>64511</v>
      </c>
      <c r="I868" s="507">
        <f>+I869</f>
        <v>8592.7000000000007</v>
      </c>
      <c r="J868" s="507">
        <f>+J869</f>
        <v>139630</v>
      </c>
    </row>
    <row r="869" spans="1:10" s="387" customFormat="1" hidden="1">
      <c r="A869" s="395"/>
      <c r="B869" s="396"/>
      <c r="C869" s="385"/>
      <c r="D869" s="385">
        <v>4729</v>
      </c>
      <c r="E869" s="385" t="s">
        <v>1125</v>
      </c>
      <c r="F869" s="389">
        <v>9868.8000000000011</v>
      </c>
      <c r="G869" s="501">
        <v>15444.2</v>
      </c>
      <c r="H869" s="501">
        <v>64511</v>
      </c>
      <c r="I869" s="501">
        <v>8592.7000000000007</v>
      </c>
      <c r="J869" s="501">
        <v>139630</v>
      </c>
    </row>
    <row r="870" spans="1:10" hidden="1">
      <c r="A870" s="408"/>
      <c r="B870" s="373"/>
      <c r="C870" s="421"/>
      <c r="D870" s="421"/>
      <c r="E870" s="428" t="s">
        <v>1141</v>
      </c>
      <c r="F870" s="545">
        <f>+F871</f>
        <v>119321.5</v>
      </c>
      <c r="G870" s="507">
        <f>+G871</f>
        <v>109959.9</v>
      </c>
      <c r="H870" s="507">
        <f>+H871</f>
        <v>767911</v>
      </c>
      <c r="I870" s="507">
        <f>+I871</f>
        <v>1257947.2</v>
      </c>
      <c r="J870" s="507">
        <f>+J871</f>
        <v>1994653.5080984896</v>
      </c>
    </row>
    <row r="871" spans="1:10" s="387" customFormat="1" hidden="1">
      <c r="A871" s="395"/>
      <c r="B871" s="396"/>
      <c r="C871" s="385"/>
      <c r="D871" s="385">
        <v>4729</v>
      </c>
      <c r="E871" s="385" t="s">
        <v>1125</v>
      </c>
      <c r="F871" s="389">
        <v>119321.5</v>
      </c>
      <c r="G871" s="501">
        <v>109959.9</v>
      </c>
      <c r="H871" s="501">
        <v>767911</v>
      </c>
      <c r="I871" s="501">
        <v>1257947.2</v>
      </c>
      <c r="J871" s="501">
        <v>1994653.5080984896</v>
      </c>
    </row>
    <row r="872" spans="1:10" hidden="1">
      <c r="A872" s="408"/>
      <c r="B872" s="373"/>
      <c r="C872" s="421"/>
      <c r="D872" s="421"/>
      <c r="E872" s="428" t="s">
        <v>1142</v>
      </c>
      <c r="F872" s="545">
        <f>+F873</f>
        <v>238666.9</v>
      </c>
      <c r="G872" s="507">
        <f>+G873</f>
        <v>217026.1</v>
      </c>
      <c r="H872" s="507">
        <f>+H873</f>
        <v>1089241</v>
      </c>
      <c r="I872" s="507">
        <f>+I873</f>
        <v>1763221</v>
      </c>
      <c r="J872" s="507">
        <f>+J873</f>
        <v>2729647</v>
      </c>
    </row>
    <row r="873" spans="1:10" s="387" customFormat="1" hidden="1">
      <c r="A873" s="395"/>
      <c r="B873" s="396"/>
      <c r="C873" s="385"/>
      <c r="D873" s="385">
        <v>4729</v>
      </c>
      <c r="E873" s="385" t="s">
        <v>1125</v>
      </c>
      <c r="F873" s="389">
        <v>238666.9</v>
      </c>
      <c r="G873" s="501">
        <v>217026.1</v>
      </c>
      <c r="H873" s="501">
        <v>1089241</v>
      </c>
      <c r="I873" s="501">
        <v>1763221</v>
      </c>
      <c r="J873" s="501">
        <v>2729647</v>
      </c>
    </row>
    <row r="874" spans="1:10" hidden="1">
      <c r="A874" s="408"/>
      <c r="B874" s="373"/>
      <c r="C874" s="421"/>
      <c r="D874" s="421"/>
      <c r="E874" s="428" t="s">
        <v>1143</v>
      </c>
      <c r="F874" s="545">
        <f>+F875</f>
        <v>207510.7</v>
      </c>
      <c r="G874" s="507">
        <f>+G875</f>
        <v>254644</v>
      </c>
      <c r="H874" s="507">
        <f>+H875</f>
        <v>1089689</v>
      </c>
      <c r="I874" s="507">
        <f>+I875</f>
        <v>1773713</v>
      </c>
      <c r="J874" s="507">
        <f>+J875</f>
        <v>2753149</v>
      </c>
    </row>
    <row r="875" spans="1:10" s="387" customFormat="1" hidden="1">
      <c r="A875" s="395"/>
      <c r="B875" s="396"/>
      <c r="C875" s="385"/>
      <c r="D875" s="385">
        <v>4729</v>
      </c>
      <c r="E875" s="385" t="s">
        <v>1125</v>
      </c>
      <c r="F875" s="389">
        <v>207510.7</v>
      </c>
      <c r="G875" s="501">
        <v>254644</v>
      </c>
      <c r="H875" s="501">
        <v>1089689</v>
      </c>
      <c r="I875" s="501">
        <v>1773713</v>
      </c>
      <c r="J875" s="501">
        <v>2753149</v>
      </c>
    </row>
    <row r="876" spans="1:10" hidden="1">
      <c r="A876" s="408"/>
      <c r="B876" s="373"/>
      <c r="C876" s="421"/>
      <c r="D876" s="421"/>
      <c r="E876" s="428" t="s">
        <v>1144</v>
      </c>
      <c r="F876" s="545">
        <f>+F877</f>
        <v>179675.55000000002</v>
      </c>
      <c r="G876" s="507">
        <f>+G877</f>
        <v>128768.8</v>
      </c>
      <c r="H876" s="507">
        <f>+H877</f>
        <v>992941</v>
      </c>
      <c r="I876" s="507">
        <f>+I877</f>
        <v>1618851</v>
      </c>
      <c r="J876" s="507">
        <f>+J877</f>
        <v>2527877</v>
      </c>
    </row>
    <row r="877" spans="1:10" s="387" customFormat="1" hidden="1">
      <c r="A877" s="395"/>
      <c r="B877" s="396"/>
      <c r="C877" s="385"/>
      <c r="D877" s="385">
        <v>4729</v>
      </c>
      <c r="E877" s="385" t="s">
        <v>1125</v>
      </c>
      <c r="F877" s="389">
        <v>179675.55000000002</v>
      </c>
      <c r="G877" s="501">
        <v>128768.8</v>
      </c>
      <c r="H877" s="501">
        <v>992941</v>
      </c>
      <c r="I877" s="501">
        <v>1618851</v>
      </c>
      <c r="J877" s="501">
        <v>2527877</v>
      </c>
    </row>
    <row r="878" spans="1:10" hidden="1">
      <c r="A878" s="408"/>
      <c r="B878" s="373"/>
      <c r="C878" s="421"/>
      <c r="D878" s="421"/>
      <c r="E878" s="428" t="s">
        <v>1145</v>
      </c>
      <c r="F878" s="545">
        <f>+F879</f>
        <v>210383.4</v>
      </c>
      <c r="G878" s="507">
        <f>+G879</f>
        <v>114300.4</v>
      </c>
      <c r="H878" s="507">
        <f>+H879</f>
        <v>1111424</v>
      </c>
      <c r="I878" s="507">
        <f>+I879</f>
        <v>1826944</v>
      </c>
      <c r="J878" s="507">
        <f>+J879</f>
        <v>2846788</v>
      </c>
    </row>
    <row r="879" spans="1:10" s="387" customFormat="1" hidden="1">
      <c r="A879" s="395"/>
      <c r="B879" s="396"/>
      <c r="C879" s="385"/>
      <c r="D879" s="385">
        <v>4729</v>
      </c>
      <c r="E879" s="385" t="s">
        <v>1125</v>
      </c>
      <c r="F879" s="389">
        <v>210383.4</v>
      </c>
      <c r="G879" s="501">
        <v>114300.4</v>
      </c>
      <c r="H879" s="501">
        <v>1111424</v>
      </c>
      <c r="I879" s="501">
        <v>1826944</v>
      </c>
      <c r="J879" s="501">
        <v>2846788</v>
      </c>
    </row>
    <row r="880" spans="1:10" hidden="1">
      <c r="A880" s="408"/>
      <c r="B880" s="373"/>
      <c r="C880" s="421"/>
      <c r="D880" s="421"/>
      <c r="E880" s="428" t="s">
        <v>1146</v>
      </c>
      <c r="F880" s="545">
        <f>+F881</f>
        <v>291932.32</v>
      </c>
      <c r="G880" s="507">
        <f>+G881</f>
        <v>374008.4</v>
      </c>
      <c r="H880" s="507">
        <f>+H881</f>
        <v>1268754</v>
      </c>
      <c r="I880" s="507">
        <f>+I881</f>
        <v>1981817</v>
      </c>
      <c r="J880" s="507">
        <f>+J881</f>
        <v>3000998</v>
      </c>
    </row>
    <row r="881" spans="1:10" s="387" customFormat="1" hidden="1">
      <c r="A881" s="395"/>
      <c r="B881" s="396"/>
      <c r="C881" s="385"/>
      <c r="D881" s="385">
        <v>4729</v>
      </c>
      <c r="E881" s="385" t="s">
        <v>1125</v>
      </c>
      <c r="F881" s="389">
        <v>291932.32</v>
      </c>
      <c r="G881" s="501">
        <v>374008.4</v>
      </c>
      <c r="H881" s="501">
        <v>1268754</v>
      </c>
      <c r="I881" s="501">
        <v>1981817</v>
      </c>
      <c r="J881" s="501">
        <v>3000998</v>
      </c>
    </row>
    <row r="882" spans="1:10" hidden="1">
      <c r="A882" s="408"/>
      <c r="B882" s="373"/>
      <c r="C882" s="421"/>
      <c r="D882" s="421"/>
      <c r="E882" s="428" t="s">
        <v>1147</v>
      </c>
      <c r="F882" s="545">
        <f>+F883</f>
        <v>196816.5</v>
      </c>
      <c r="G882" s="507">
        <f>+G883</f>
        <v>217026.1</v>
      </c>
      <c r="H882" s="507">
        <f>+H883</f>
        <v>1074502</v>
      </c>
      <c r="I882" s="507">
        <f>+I883</f>
        <v>1747811</v>
      </c>
      <c r="J882" s="507">
        <f>+J883</f>
        <v>2730896</v>
      </c>
    </row>
    <row r="883" spans="1:10" s="387" customFormat="1" hidden="1">
      <c r="A883" s="395"/>
      <c r="B883" s="396"/>
      <c r="C883" s="385"/>
      <c r="D883" s="385">
        <v>4729</v>
      </c>
      <c r="E883" s="385" t="s">
        <v>1125</v>
      </c>
      <c r="F883" s="389">
        <v>196816.5</v>
      </c>
      <c r="G883" s="501">
        <v>217026.1</v>
      </c>
      <c r="H883" s="501">
        <v>1074502</v>
      </c>
      <c r="I883" s="501">
        <v>1747811</v>
      </c>
      <c r="J883" s="501">
        <v>2730896</v>
      </c>
    </row>
    <row r="884" spans="1:10" hidden="1">
      <c r="A884" s="408"/>
      <c r="B884" s="373"/>
      <c r="C884" s="421"/>
      <c r="D884" s="421"/>
      <c r="E884" s="428" t="s">
        <v>1148</v>
      </c>
      <c r="F884" s="545">
        <f>+F885</f>
        <v>160741.23000000001</v>
      </c>
      <c r="G884" s="507">
        <f>+G885</f>
        <v>103449.1</v>
      </c>
      <c r="H884" s="507">
        <f>+H885</f>
        <v>843387</v>
      </c>
      <c r="I884" s="507">
        <f>+I885</f>
        <v>1414382</v>
      </c>
      <c r="J884" s="507">
        <f>+J885</f>
        <v>2222630</v>
      </c>
    </row>
    <row r="885" spans="1:10" s="387" customFormat="1" hidden="1">
      <c r="A885" s="395"/>
      <c r="B885" s="396"/>
      <c r="C885" s="385"/>
      <c r="D885" s="385">
        <v>4729</v>
      </c>
      <c r="E885" s="385" t="s">
        <v>1125</v>
      </c>
      <c r="F885" s="389">
        <v>160741.23000000001</v>
      </c>
      <c r="G885" s="501">
        <v>103449.1</v>
      </c>
      <c r="H885" s="501">
        <v>843387</v>
      </c>
      <c r="I885" s="501">
        <v>1414382</v>
      </c>
      <c r="J885" s="501">
        <v>2222630</v>
      </c>
    </row>
    <row r="886" spans="1:10" hidden="1">
      <c r="A886" s="408"/>
      <c r="B886" s="373"/>
      <c r="C886" s="421"/>
      <c r="D886" s="421"/>
      <c r="E886" s="428" t="s">
        <v>1149</v>
      </c>
      <c r="F886" s="545">
        <f>+F887</f>
        <v>41184.5</v>
      </c>
      <c r="G886" s="507">
        <f>+G887</f>
        <v>20979.200000000001</v>
      </c>
      <c r="H886" s="507">
        <f>+H887</f>
        <v>291174</v>
      </c>
      <c r="I886" s="507">
        <f>+I887</f>
        <v>486112</v>
      </c>
      <c r="J886" s="507">
        <f>+J887</f>
        <v>771342</v>
      </c>
    </row>
    <row r="887" spans="1:10" s="387" customFormat="1" hidden="1">
      <c r="A887" s="395"/>
      <c r="B887" s="396"/>
      <c r="C887" s="385"/>
      <c r="D887" s="385">
        <v>4729</v>
      </c>
      <c r="E887" s="385" t="s">
        <v>1125</v>
      </c>
      <c r="F887" s="389">
        <v>41184.5</v>
      </c>
      <c r="G887" s="501">
        <v>20979.200000000001</v>
      </c>
      <c r="H887" s="501">
        <v>291174</v>
      </c>
      <c r="I887" s="501">
        <v>486112</v>
      </c>
      <c r="J887" s="501">
        <v>771342</v>
      </c>
    </row>
    <row r="888" spans="1:10" hidden="1">
      <c r="A888" s="408"/>
      <c r="B888" s="373"/>
      <c r="C888" s="421"/>
      <c r="D888" s="421"/>
      <c r="E888" s="428" t="s">
        <v>1150</v>
      </c>
      <c r="F888" s="545">
        <f>+F889</f>
        <v>114007.5</v>
      </c>
      <c r="G888" s="507">
        <f>+G889</f>
        <v>197493.8</v>
      </c>
      <c r="H888" s="507">
        <f>+H889</f>
        <v>644948</v>
      </c>
      <c r="I888" s="507">
        <f>+I889</f>
        <v>1057621</v>
      </c>
      <c r="J888" s="507">
        <f>+J889</f>
        <v>1647437</v>
      </c>
    </row>
    <row r="889" spans="1:10" s="387" customFormat="1" hidden="1">
      <c r="A889" s="395"/>
      <c r="B889" s="396"/>
      <c r="C889" s="385"/>
      <c r="D889" s="385">
        <v>4729</v>
      </c>
      <c r="E889" s="385" t="s">
        <v>1125</v>
      </c>
      <c r="F889" s="389">
        <v>114007.5</v>
      </c>
      <c r="G889" s="501">
        <v>197493.8</v>
      </c>
      <c r="H889" s="501">
        <v>644948</v>
      </c>
      <c r="I889" s="501">
        <v>1057621</v>
      </c>
      <c r="J889" s="501">
        <v>1647437</v>
      </c>
    </row>
    <row r="890" spans="1:10" ht="51">
      <c r="A890" s="408"/>
      <c r="B890" s="373">
        <v>1192</v>
      </c>
      <c r="C890" s="421">
        <v>11018</v>
      </c>
      <c r="D890" s="421"/>
      <c r="E890" s="393" t="s">
        <v>650</v>
      </c>
      <c r="F890" s="388">
        <f>+F891</f>
        <v>3090</v>
      </c>
      <c r="G890" s="500">
        <f>+G891</f>
        <v>4000</v>
      </c>
      <c r="H890" s="500">
        <f>+H891</f>
        <v>4000</v>
      </c>
      <c r="I890" s="500">
        <f>+I891</f>
        <v>4000</v>
      </c>
      <c r="J890" s="500">
        <f>+J891</f>
        <v>4000</v>
      </c>
    </row>
    <row r="891" spans="1:10" s="387" customFormat="1">
      <c r="A891" s="395"/>
      <c r="B891" s="396"/>
      <c r="C891" s="385"/>
      <c r="D891" s="385">
        <v>4200</v>
      </c>
      <c r="E891" s="385" t="s">
        <v>1137</v>
      </c>
      <c r="F891" s="389">
        <v>3090</v>
      </c>
      <c r="G891" s="501">
        <v>4000</v>
      </c>
      <c r="H891" s="501">
        <v>4000</v>
      </c>
      <c r="I891" s="501">
        <v>4000</v>
      </c>
      <c r="J891" s="501">
        <v>4000</v>
      </c>
    </row>
    <row r="892" spans="1:10" s="394" customFormat="1" ht="76.5" outlineLevel="1">
      <c r="A892" s="408"/>
      <c r="B892" s="373">
        <v>1192</v>
      </c>
      <c r="C892" s="421">
        <v>11020</v>
      </c>
      <c r="D892" s="421"/>
      <c r="E892" s="393" t="s">
        <v>651</v>
      </c>
      <c r="F892" s="388">
        <v>3113.19</v>
      </c>
      <c r="G892" s="500">
        <v>0</v>
      </c>
      <c r="H892" s="500">
        <v>0</v>
      </c>
      <c r="I892" s="500">
        <v>0</v>
      </c>
      <c r="J892" s="500">
        <v>0</v>
      </c>
    </row>
    <row r="893" spans="1:10" ht="51">
      <c r="A893" s="408"/>
      <c r="B893" s="373">
        <v>1192</v>
      </c>
      <c r="C893" s="421">
        <v>11022</v>
      </c>
      <c r="D893" s="421"/>
      <c r="E893" s="393" t="s">
        <v>652</v>
      </c>
      <c r="F893" s="388">
        <f>SUM(F894,F896,F898,F900,F902,F904,F906,F908,F910,F912,F914,F916)</f>
        <v>195796.09000000003</v>
      </c>
      <c r="G893" s="500">
        <f>SUM(G894,G896,G898,G900,G902,G904,G906,G908,G910,G912,G914,G916)</f>
        <v>72000.000000000015</v>
      </c>
      <c r="H893" s="500">
        <f>SUM(H894,H896,H898,H900,H902,H904,H906,H908,H910,H912,H914,H916)</f>
        <v>72000.000000000015</v>
      </c>
      <c r="I893" s="500">
        <f>SUM(I894,I896,I898,I900,I902,I904,I906,I908,I910,I912,I914,I916)</f>
        <v>72000.000000000015</v>
      </c>
      <c r="J893" s="500">
        <f>SUM(J894,J896,J898,J900,J902,J904,J906,J908,J910,J912,J914,J916)</f>
        <v>72000.000000000015</v>
      </c>
    </row>
    <row r="894" spans="1:10" ht="25.5" hidden="1">
      <c r="A894" s="408"/>
      <c r="B894" s="373"/>
      <c r="C894" s="385"/>
      <c r="D894" s="421"/>
      <c r="E894" s="428" t="s">
        <v>1140</v>
      </c>
      <c r="F894" s="545">
        <f>+F895</f>
        <v>38443.800000000003</v>
      </c>
      <c r="G894" s="507">
        <f>+G895</f>
        <v>14104.7</v>
      </c>
      <c r="H894" s="507">
        <f>+H895</f>
        <v>14104.7</v>
      </c>
      <c r="I894" s="507">
        <f>+I895</f>
        <v>14104.7</v>
      </c>
      <c r="J894" s="507">
        <f>+J895</f>
        <v>14104.7</v>
      </c>
    </row>
    <row r="895" spans="1:10" s="387" customFormat="1" hidden="1">
      <c r="A895" s="395"/>
      <c r="B895" s="396"/>
      <c r="C895" s="385"/>
      <c r="D895" s="385">
        <v>4729</v>
      </c>
      <c r="E895" s="385" t="s">
        <v>1125</v>
      </c>
      <c r="F895" s="389">
        <v>38443.800000000003</v>
      </c>
      <c r="G895" s="501">
        <v>14104.7</v>
      </c>
      <c r="H895" s="501">
        <v>14104.7</v>
      </c>
      <c r="I895" s="501">
        <v>14104.7</v>
      </c>
      <c r="J895" s="501">
        <v>14104.7</v>
      </c>
    </row>
    <row r="896" spans="1:10" ht="25.5" hidden="1">
      <c r="A896" s="408"/>
      <c r="B896" s="373"/>
      <c r="C896" s="421"/>
      <c r="D896" s="421"/>
      <c r="E896" s="428" t="s">
        <v>1123</v>
      </c>
      <c r="F896" s="545">
        <f>+F897</f>
        <v>31200.15</v>
      </c>
      <c r="G896" s="507">
        <f>+G897</f>
        <v>9058.7000000000007</v>
      </c>
      <c r="H896" s="507">
        <f>+H897</f>
        <v>9058.7000000000007</v>
      </c>
      <c r="I896" s="507">
        <f>+I897</f>
        <v>9058.7000000000007</v>
      </c>
      <c r="J896" s="507">
        <f>+J897</f>
        <v>9058.7000000000007</v>
      </c>
    </row>
    <row r="897" spans="1:10" s="387" customFormat="1" hidden="1">
      <c r="A897" s="395"/>
      <c r="B897" s="396"/>
      <c r="C897" s="385"/>
      <c r="D897" s="385">
        <v>4729</v>
      </c>
      <c r="E897" s="385" t="s">
        <v>1125</v>
      </c>
      <c r="F897" s="389">
        <v>31200.15</v>
      </c>
      <c r="G897" s="501">
        <v>9058.7000000000007</v>
      </c>
      <c r="H897" s="501">
        <v>9058.7000000000007</v>
      </c>
      <c r="I897" s="501">
        <v>9058.7000000000007</v>
      </c>
      <c r="J897" s="501">
        <v>9058.7000000000007</v>
      </c>
    </row>
    <row r="898" spans="1:10" hidden="1">
      <c r="A898" s="408"/>
      <c r="B898" s="373"/>
      <c r="C898" s="421"/>
      <c r="D898" s="421"/>
      <c r="E898" s="428" t="s">
        <v>1141</v>
      </c>
      <c r="F898" s="545">
        <f>+F899</f>
        <v>14688</v>
      </c>
      <c r="G898" s="507">
        <f>+G899</f>
        <v>4761.2</v>
      </c>
      <c r="H898" s="507">
        <f>+H899</f>
        <v>4761.2</v>
      </c>
      <c r="I898" s="507">
        <f>+I899</f>
        <v>4761.2</v>
      </c>
      <c r="J898" s="507">
        <f>+J899</f>
        <v>4761.2</v>
      </c>
    </row>
    <row r="899" spans="1:10" s="387" customFormat="1" hidden="1">
      <c r="A899" s="395"/>
      <c r="B899" s="396"/>
      <c r="C899" s="385"/>
      <c r="D899" s="385">
        <v>4729</v>
      </c>
      <c r="E899" s="385" t="s">
        <v>1125</v>
      </c>
      <c r="F899" s="389">
        <v>14688</v>
      </c>
      <c r="G899" s="501">
        <v>4761.2</v>
      </c>
      <c r="H899" s="501">
        <v>4761.2</v>
      </c>
      <c r="I899" s="501">
        <v>4761.2</v>
      </c>
      <c r="J899" s="501">
        <v>4761.2</v>
      </c>
    </row>
    <row r="900" spans="1:10" hidden="1">
      <c r="A900" s="408"/>
      <c r="B900" s="373"/>
      <c r="C900" s="421"/>
      <c r="D900" s="421"/>
      <c r="E900" s="428" t="s">
        <v>1142</v>
      </c>
      <c r="F900" s="545">
        <f>+F901</f>
        <v>14506.1</v>
      </c>
      <c r="G900" s="507">
        <f>+G901</f>
        <v>5436.6</v>
      </c>
      <c r="H900" s="507">
        <f>+H901</f>
        <v>5436.6</v>
      </c>
      <c r="I900" s="507">
        <f>+I901</f>
        <v>5436.6</v>
      </c>
      <c r="J900" s="507">
        <f>+J901</f>
        <v>5436.6</v>
      </c>
    </row>
    <row r="901" spans="1:10" s="387" customFormat="1" hidden="1">
      <c r="A901" s="395"/>
      <c r="B901" s="396"/>
      <c r="C901" s="385"/>
      <c r="D901" s="385">
        <v>4729</v>
      </c>
      <c r="E901" s="385" t="s">
        <v>1125</v>
      </c>
      <c r="F901" s="389">
        <v>14506.1</v>
      </c>
      <c r="G901" s="501">
        <v>5436.6</v>
      </c>
      <c r="H901" s="501">
        <f>+G901</f>
        <v>5436.6</v>
      </c>
      <c r="I901" s="501">
        <f>+H901</f>
        <v>5436.6</v>
      </c>
      <c r="J901" s="501">
        <f>+I901</f>
        <v>5436.6</v>
      </c>
    </row>
    <row r="902" spans="1:10" hidden="1">
      <c r="A902" s="408"/>
      <c r="B902" s="373"/>
      <c r="C902" s="421"/>
      <c r="D902" s="421"/>
      <c r="E902" s="428" t="s">
        <v>1143</v>
      </c>
      <c r="F902" s="545">
        <f>+F903</f>
        <v>16249.02</v>
      </c>
      <c r="G902" s="507">
        <f>+G903</f>
        <v>5449.8</v>
      </c>
      <c r="H902" s="507">
        <f>+H903</f>
        <v>5449.8</v>
      </c>
      <c r="I902" s="507">
        <f>+I903</f>
        <v>5449.8</v>
      </c>
      <c r="J902" s="507">
        <f>+J903</f>
        <v>5449.8</v>
      </c>
    </row>
    <row r="903" spans="1:10" s="387" customFormat="1" hidden="1">
      <c r="A903" s="395"/>
      <c r="B903" s="396"/>
      <c r="C903" s="385"/>
      <c r="D903" s="385">
        <v>4729</v>
      </c>
      <c r="E903" s="385" t="s">
        <v>1125</v>
      </c>
      <c r="F903" s="389">
        <v>16249.02</v>
      </c>
      <c r="G903" s="501">
        <v>5449.8</v>
      </c>
      <c r="H903" s="501">
        <f>+G903</f>
        <v>5449.8</v>
      </c>
      <c r="I903" s="501">
        <f>+H903</f>
        <v>5449.8</v>
      </c>
      <c r="J903" s="501">
        <f>+I903</f>
        <v>5449.8</v>
      </c>
    </row>
    <row r="904" spans="1:10" hidden="1">
      <c r="A904" s="408"/>
      <c r="B904" s="373"/>
      <c r="C904" s="421"/>
      <c r="D904" s="421"/>
      <c r="E904" s="428" t="s">
        <v>1144</v>
      </c>
      <c r="F904" s="545">
        <f>+F905</f>
        <v>16337.460000000001</v>
      </c>
      <c r="G904" s="507">
        <f>+G905</f>
        <v>6840.4</v>
      </c>
      <c r="H904" s="507">
        <f>+H905</f>
        <v>6840.4</v>
      </c>
      <c r="I904" s="507">
        <f>+I905</f>
        <v>6840.4</v>
      </c>
      <c r="J904" s="507">
        <f>+J905</f>
        <v>6840.4</v>
      </c>
    </row>
    <row r="905" spans="1:10" s="387" customFormat="1" hidden="1">
      <c r="A905" s="395"/>
      <c r="B905" s="396"/>
      <c r="C905" s="385"/>
      <c r="D905" s="385">
        <v>4729</v>
      </c>
      <c r="E905" s="385" t="s">
        <v>1125</v>
      </c>
      <c r="F905" s="389">
        <v>16337.460000000001</v>
      </c>
      <c r="G905" s="501">
        <v>6840.4</v>
      </c>
      <c r="H905" s="501">
        <f>+G905</f>
        <v>6840.4</v>
      </c>
      <c r="I905" s="501">
        <f>+H905</f>
        <v>6840.4</v>
      </c>
      <c r="J905" s="501">
        <f>+I905</f>
        <v>6840.4</v>
      </c>
    </row>
    <row r="906" spans="1:10" hidden="1">
      <c r="A906" s="408"/>
      <c r="B906" s="373"/>
      <c r="C906" s="421"/>
      <c r="D906" s="421"/>
      <c r="E906" s="428" t="s">
        <v>1145</v>
      </c>
      <c r="F906" s="545">
        <f>+F907</f>
        <v>17908.09</v>
      </c>
      <c r="G906" s="507">
        <f>+G907</f>
        <v>5622</v>
      </c>
      <c r="H906" s="507">
        <f>+H907</f>
        <v>5622</v>
      </c>
      <c r="I906" s="507">
        <f>+I907</f>
        <v>5622</v>
      </c>
      <c r="J906" s="507">
        <f>+J907</f>
        <v>5622</v>
      </c>
    </row>
    <row r="907" spans="1:10" s="387" customFormat="1" hidden="1">
      <c r="A907" s="395"/>
      <c r="B907" s="396"/>
      <c r="C907" s="385"/>
      <c r="D907" s="385">
        <v>4729</v>
      </c>
      <c r="E907" s="385" t="s">
        <v>1125</v>
      </c>
      <c r="F907" s="389">
        <v>17908.09</v>
      </c>
      <c r="G907" s="501">
        <v>5622</v>
      </c>
      <c r="H907" s="501">
        <f>+G907</f>
        <v>5622</v>
      </c>
      <c r="I907" s="501">
        <f>+H907</f>
        <v>5622</v>
      </c>
      <c r="J907" s="501">
        <f>+I907</f>
        <v>5622</v>
      </c>
    </row>
    <row r="908" spans="1:10" hidden="1">
      <c r="A908" s="408"/>
      <c r="B908" s="373"/>
      <c r="C908" s="421"/>
      <c r="D908" s="421"/>
      <c r="E908" s="428" t="s">
        <v>1146</v>
      </c>
      <c r="F908" s="545">
        <f>+F909</f>
        <v>9184.4</v>
      </c>
      <c r="G908" s="507">
        <f>+G909</f>
        <v>5317.4</v>
      </c>
      <c r="H908" s="507">
        <f>+H909</f>
        <v>5317.4</v>
      </c>
      <c r="I908" s="507">
        <f>+I909</f>
        <v>5317.4</v>
      </c>
      <c r="J908" s="507">
        <f>+J909</f>
        <v>5317.4</v>
      </c>
    </row>
    <row r="909" spans="1:10" s="387" customFormat="1" hidden="1">
      <c r="A909" s="395"/>
      <c r="B909" s="396"/>
      <c r="C909" s="385"/>
      <c r="D909" s="385">
        <v>4729</v>
      </c>
      <c r="E909" s="385" t="s">
        <v>1125</v>
      </c>
      <c r="F909" s="389">
        <v>9184.4</v>
      </c>
      <c r="G909" s="501">
        <v>5317.4</v>
      </c>
      <c r="H909" s="501">
        <f>+G909</f>
        <v>5317.4</v>
      </c>
      <c r="I909" s="501">
        <f>+H909</f>
        <v>5317.4</v>
      </c>
      <c r="J909" s="501">
        <f>+I909</f>
        <v>5317.4</v>
      </c>
    </row>
    <row r="910" spans="1:10" hidden="1">
      <c r="A910" s="408"/>
      <c r="B910" s="373"/>
      <c r="C910" s="421"/>
      <c r="D910" s="421"/>
      <c r="E910" s="428" t="s">
        <v>1147</v>
      </c>
      <c r="F910" s="545">
        <f>+F911</f>
        <v>21796.9</v>
      </c>
      <c r="G910" s="507">
        <f>+G911</f>
        <v>5502.8</v>
      </c>
      <c r="H910" s="507">
        <f>+H911</f>
        <v>5502.8</v>
      </c>
      <c r="I910" s="507">
        <f>+I911</f>
        <v>5502.8</v>
      </c>
      <c r="J910" s="507">
        <f>+J911</f>
        <v>5502.8</v>
      </c>
    </row>
    <row r="911" spans="1:10" s="387" customFormat="1" hidden="1">
      <c r="A911" s="395"/>
      <c r="B911" s="396"/>
      <c r="C911" s="385"/>
      <c r="D911" s="385">
        <v>4729</v>
      </c>
      <c r="E911" s="385" t="s">
        <v>1125</v>
      </c>
      <c r="F911" s="389">
        <v>21796.9</v>
      </c>
      <c r="G911" s="501">
        <v>5502.8</v>
      </c>
      <c r="H911" s="501">
        <f>+G911</f>
        <v>5502.8</v>
      </c>
      <c r="I911" s="501">
        <f>+H911</f>
        <v>5502.8</v>
      </c>
      <c r="J911" s="501">
        <f>+I911</f>
        <v>5502.8</v>
      </c>
    </row>
    <row r="912" spans="1:10" hidden="1">
      <c r="A912" s="408"/>
      <c r="B912" s="373"/>
      <c r="C912" s="421"/>
      <c r="D912" s="421"/>
      <c r="E912" s="428" t="s">
        <v>1148</v>
      </c>
      <c r="F912" s="545">
        <f>+F913</f>
        <v>9759.5500000000011</v>
      </c>
      <c r="G912" s="507">
        <f>+G913</f>
        <v>3324.2</v>
      </c>
      <c r="H912" s="507">
        <f>+H913</f>
        <v>3324.2</v>
      </c>
      <c r="I912" s="507">
        <f>+I913</f>
        <v>3324.2</v>
      </c>
      <c r="J912" s="507">
        <f>+J913</f>
        <v>3324.2</v>
      </c>
    </row>
    <row r="913" spans="1:10" s="387" customFormat="1" hidden="1">
      <c r="A913" s="395"/>
      <c r="B913" s="396"/>
      <c r="C913" s="385"/>
      <c r="D913" s="385">
        <v>4729</v>
      </c>
      <c r="E913" s="385" t="s">
        <v>1125</v>
      </c>
      <c r="F913" s="389">
        <v>9759.5500000000011</v>
      </c>
      <c r="G913" s="501">
        <v>3324.2</v>
      </c>
      <c r="H913" s="501">
        <f>+G913</f>
        <v>3324.2</v>
      </c>
      <c r="I913" s="501">
        <f>+H913</f>
        <v>3324.2</v>
      </c>
      <c r="J913" s="501">
        <f>+I913</f>
        <v>3324.2</v>
      </c>
    </row>
    <row r="914" spans="1:10" hidden="1">
      <c r="A914" s="408"/>
      <c r="B914" s="373"/>
      <c r="C914" s="421"/>
      <c r="D914" s="421"/>
      <c r="E914" s="428" t="s">
        <v>1149</v>
      </c>
      <c r="F914" s="545">
        <f>+F915</f>
        <v>4847.7</v>
      </c>
      <c r="G914" s="507">
        <f>+G915</f>
        <v>1225.0999999999999</v>
      </c>
      <c r="H914" s="507">
        <f>+H915</f>
        <v>1225.0999999999999</v>
      </c>
      <c r="I914" s="507">
        <f>+I915</f>
        <v>1225.0999999999999</v>
      </c>
      <c r="J914" s="507">
        <f>+J915</f>
        <v>1225.0999999999999</v>
      </c>
    </row>
    <row r="915" spans="1:10" s="387" customFormat="1" hidden="1">
      <c r="A915" s="395"/>
      <c r="B915" s="396"/>
      <c r="C915" s="385"/>
      <c r="D915" s="385">
        <v>4729</v>
      </c>
      <c r="E915" s="385" t="s">
        <v>1125</v>
      </c>
      <c r="F915" s="389">
        <v>4847.7</v>
      </c>
      <c r="G915" s="501">
        <v>1225.0999999999999</v>
      </c>
      <c r="H915" s="501">
        <f>+G915</f>
        <v>1225.0999999999999</v>
      </c>
      <c r="I915" s="501">
        <f>+H915</f>
        <v>1225.0999999999999</v>
      </c>
      <c r="J915" s="501">
        <f>+I915</f>
        <v>1225.0999999999999</v>
      </c>
    </row>
    <row r="916" spans="1:10" hidden="1">
      <c r="A916" s="408"/>
      <c r="B916" s="373"/>
      <c r="C916" s="421"/>
      <c r="D916" s="421"/>
      <c r="E916" s="428" t="s">
        <v>1150</v>
      </c>
      <c r="F916" s="545">
        <f>+F917</f>
        <v>874.92000000000007</v>
      </c>
      <c r="G916" s="507">
        <f>+G917</f>
        <v>5357.1</v>
      </c>
      <c r="H916" s="507">
        <f>+H917</f>
        <v>5357.1</v>
      </c>
      <c r="I916" s="507">
        <f>+I917</f>
        <v>5357.1</v>
      </c>
      <c r="J916" s="507">
        <f>+J917</f>
        <v>5357.1</v>
      </c>
    </row>
    <row r="917" spans="1:10" s="387" customFormat="1" hidden="1">
      <c r="A917" s="395"/>
      <c r="B917" s="396"/>
      <c r="C917" s="385"/>
      <c r="D917" s="385">
        <v>4729</v>
      </c>
      <c r="E917" s="385" t="s">
        <v>1125</v>
      </c>
      <c r="F917" s="389">
        <v>874.92000000000007</v>
      </c>
      <c r="G917" s="501">
        <v>5357.1</v>
      </c>
      <c r="H917" s="501">
        <f>+G917</f>
        <v>5357.1</v>
      </c>
      <c r="I917" s="501">
        <f>+H917</f>
        <v>5357.1</v>
      </c>
      <c r="J917" s="501">
        <f>+I917</f>
        <v>5357.1</v>
      </c>
    </row>
    <row r="918" spans="1:10" ht="38.25">
      <c r="A918" s="408"/>
      <c r="B918" s="373">
        <v>1192</v>
      </c>
      <c r="C918" s="421">
        <v>11023</v>
      </c>
      <c r="D918" s="421"/>
      <c r="E918" s="393" t="s">
        <v>653</v>
      </c>
      <c r="F918" s="388">
        <f>SUM(F919:F922)</f>
        <v>618840.81000000006</v>
      </c>
      <c r="G918" s="500">
        <f>SUM(G919:G922)</f>
        <v>850198</v>
      </c>
      <c r="H918" s="500">
        <f>SUM(H919:H922)</f>
        <v>762846.8</v>
      </c>
      <c r="I918" s="500">
        <f t="shared" ref="I918:J918" si="130">SUM(I919:I922)</f>
        <v>3753.2</v>
      </c>
      <c r="J918" s="500">
        <f t="shared" si="130"/>
        <v>0</v>
      </c>
    </row>
    <row r="919" spans="1:10" s="387" customFormat="1">
      <c r="A919" s="395"/>
      <c r="B919" s="396"/>
      <c r="C919" s="385"/>
      <c r="D919" s="385">
        <v>4111</v>
      </c>
      <c r="E919" s="385" t="s">
        <v>1136</v>
      </c>
      <c r="F919" s="389">
        <v>116086.42</v>
      </c>
      <c r="G919" s="501">
        <v>121875.2</v>
      </c>
      <c r="H919" s="501">
        <f>'[4]Հ7 Ձև1 ՀՀ դրամ'!$V$13</f>
        <v>125154.1</v>
      </c>
      <c r="I919" s="501">
        <v>0</v>
      </c>
      <c r="J919" s="501"/>
    </row>
    <row r="920" spans="1:10" s="387" customFormat="1">
      <c r="A920" s="395"/>
      <c r="B920" s="396"/>
      <c r="C920" s="385"/>
      <c r="D920" s="385">
        <v>4200</v>
      </c>
      <c r="E920" s="385" t="s">
        <v>1137</v>
      </c>
      <c r="F920" s="389">
        <v>32916.199999999997</v>
      </c>
      <c r="G920" s="501">
        <v>44992.2</v>
      </c>
      <c r="H920" s="501">
        <f>+'[4]Հ7 Ձև1 ՀՀ դրամ'!$V$14</f>
        <v>41829.9</v>
      </c>
      <c r="I920" s="501">
        <v>3753.2</v>
      </c>
      <c r="J920" s="501"/>
    </row>
    <row r="921" spans="1:10" s="387" customFormat="1">
      <c r="A921" s="395"/>
      <c r="B921" s="396"/>
      <c r="C921" s="385"/>
      <c r="D921" s="385">
        <v>4639</v>
      </c>
      <c r="E921" s="385" t="s">
        <v>1119</v>
      </c>
      <c r="F921" s="389">
        <v>441159.39</v>
      </c>
      <c r="G921" s="501">
        <v>524990.4</v>
      </c>
      <c r="H921" s="501">
        <f>+'[4]Հ7 Ձև1 ՀՀ դրամ'!$V$15</f>
        <v>243739.1</v>
      </c>
      <c r="I921" s="501">
        <v>0</v>
      </c>
      <c r="J921" s="501"/>
    </row>
    <row r="922" spans="1:10" s="387" customFormat="1">
      <c r="A922" s="395"/>
      <c r="B922" s="396"/>
      <c r="C922" s="385"/>
      <c r="D922" s="385">
        <v>4861</v>
      </c>
      <c r="E922" s="385" t="s">
        <v>1138</v>
      </c>
      <c r="F922" s="389">
        <v>28678.799999999999</v>
      </c>
      <c r="G922" s="501">
        <v>158340.20000000001</v>
      </c>
      <c r="H922" s="501">
        <f>+'[4]Հ7 Ձև1 ՀՀ դրամ'!$V$16</f>
        <v>352123.7</v>
      </c>
      <c r="I922" s="501">
        <v>0</v>
      </c>
      <c r="J922" s="501"/>
    </row>
    <row r="923" spans="1:10" s="394" customFormat="1" ht="51">
      <c r="A923" s="408"/>
      <c r="B923" s="373">
        <v>1192</v>
      </c>
      <c r="C923" s="421">
        <v>11024</v>
      </c>
      <c r="D923" s="421"/>
      <c r="E923" s="393" t="s">
        <v>654</v>
      </c>
      <c r="F923" s="388">
        <v>0</v>
      </c>
      <c r="G923" s="500">
        <f>SUM(G924:G926)</f>
        <v>87428.3</v>
      </c>
      <c r="H923" s="500">
        <f>SUM(H924:H926)</f>
        <v>138680.4</v>
      </c>
      <c r="I923" s="500">
        <f t="shared" ref="I923:J923" si="131">SUM(I924:I926)</f>
        <v>129880.4</v>
      </c>
      <c r="J923" s="500">
        <f t="shared" si="131"/>
        <v>0</v>
      </c>
    </row>
    <row r="924" spans="1:10" s="387" customFormat="1">
      <c r="A924" s="395"/>
      <c r="B924" s="396"/>
      <c r="C924" s="385"/>
      <c r="D924" s="385">
        <v>4111</v>
      </c>
      <c r="E924" s="385" t="s">
        <v>1136</v>
      </c>
      <c r="F924" s="389"/>
      <c r="G924" s="501">
        <v>63778.3</v>
      </c>
      <c r="H924" s="501">
        <v>71240.399999999994</v>
      </c>
      <c r="I924" s="501">
        <v>71240.399999999994</v>
      </c>
      <c r="J924" s="501">
        <v>0</v>
      </c>
    </row>
    <row r="925" spans="1:10" s="387" customFormat="1">
      <c r="A925" s="395"/>
      <c r="B925" s="396"/>
      <c r="C925" s="385"/>
      <c r="D925" s="385">
        <v>4200</v>
      </c>
      <c r="E925" s="385" t="s">
        <v>1137</v>
      </c>
      <c r="F925" s="389"/>
      <c r="G925" s="501">
        <v>13900</v>
      </c>
      <c r="H925" s="501">
        <v>62440</v>
      </c>
      <c r="I925" s="501">
        <v>50640</v>
      </c>
      <c r="J925" s="501">
        <v>0</v>
      </c>
    </row>
    <row r="926" spans="1:10" s="387" customFormat="1">
      <c r="A926" s="395"/>
      <c r="B926" s="396"/>
      <c r="C926" s="385"/>
      <c r="D926" s="385">
        <v>4861</v>
      </c>
      <c r="E926" s="385" t="s">
        <v>1138</v>
      </c>
      <c r="F926" s="389"/>
      <c r="G926" s="501">
        <v>9750</v>
      </c>
      <c r="H926" s="501">
        <v>5000</v>
      </c>
      <c r="I926" s="501">
        <v>8000</v>
      </c>
      <c r="J926" s="501">
        <v>0</v>
      </c>
    </row>
    <row r="927" spans="1:10" s="394" customFormat="1" ht="63.75" outlineLevel="1">
      <c r="A927" s="408"/>
      <c r="B927" s="373">
        <v>1192</v>
      </c>
      <c r="C927" s="421">
        <v>12004</v>
      </c>
      <c r="D927" s="421"/>
      <c r="E927" s="393" t="s">
        <v>655</v>
      </c>
      <c r="F927" s="388">
        <v>1345.6</v>
      </c>
      <c r="G927" s="500">
        <v>0</v>
      </c>
      <c r="H927" s="500">
        <v>0</v>
      </c>
      <c r="I927" s="500">
        <v>0</v>
      </c>
      <c r="J927" s="500">
        <v>0</v>
      </c>
    </row>
    <row r="928" spans="1:10" s="394" customFormat="1" ht="63.75" outlineLevel="1">
      <c r="A928" s="408"/>
      <c r="B928" s="427">
        <v>1192</v>
      </c>
      <c r="C928" s="432">
        <v>32003</v>
      </c>
      <c r="D928" s="432"/>
      <c r="E928" s="438" t="s">
        <v>772</v>
      </c>
      <c r="F928" s="426">
        <v>38976.97</v>
      </c>
      <c r="G928" s="514">
        <v>0</v>
      </c>
      <c r="H928" s="514">
        <v>0</v>
      </c>
      <c r="I928" s="514">
        <v>0</v>
      </c>
      <c r="J928" s="514">
        <v>0</v>
      </c>
    </row>
    <row r="929" spans="1:10" ht="76.5">
      <c r="A929" s="408"/>
      <c r="B929" s="427">
        <v>1192</v>
      </c>
      <c r="C929" s="432">
        <v>32006</v>
      </c>
      <c r="D929" s="432"/>
      <c r="E929" s="438" t="s">
        <v>773</v>
      </c>
      <c r="F929" s="443">
        <f t="shared" ref="F929:I929" si="132">SUM(F930:F933)</f>
        <v>2126828.7100000004</v>
      </c>
      <c r="G929" s="526">
        <f t="shared" si="132"/>
        <v>4117413.6</v>
      </c>
      <c r="H929" s="526">
        <f t="shared" si="132"/>
        <v>3859045.8953538309</v>
      </c>
      <c r="I929" s="526">
        <f t="shared" si="132"/>
        <v>370780.69999999995</v>
      </c>
      <c r="J929" s="514">
        <f>SUM(J930:J933)</f>
        <v>0</v>
      </c>
    </row>
    <row r="930" spans="1:10" s="387" customFormat="1">
      <c r="A930" s="395"/>
      <c r="B930" s="396"/>
      <c r="C930" s="385"/>
      <c r="D930" s="385">
        <v>5112</v>
      </c>
      <c r="E930" s="385" t="s">
        <v>1130</v>
      </c>
      <c r="F930" s="389">
        <v>260687.24</v>
      </c>
      <c r="G930" s="501">
        <v>1193200</v>
      </c>
      <c r="H930" s="501">
        <v>1418593.785353831</v>
      </c>
      <c r="I930" s="501">
        <v>259546.49999999997</v>
      </c>
      <c r="J930" s="501">
        <v>0</v>
      </c>
    </row>
    <row r="931" spans="1:10" s="387" customFormat="1">
      <c r="A931" s="395"/>
      <c r="B931" s="396"/>
      <c r="C931" s="385"/>
      <c r="D931" s="385">
        <v>5113</v>
      </c>
      <c r="E931" s="385" t="s">
        <v>1127</v>
      </c>
      <c r="F931" s="389">
        <v>400902.21</v>
      </c>
      <c r="G931" s="501">
        <v>2052700</v>
      </c>
      <c r="H931" s="501">
        <v>2440452.11</v>
      </c>
      <c r="I931" s="501">
        <v>111234.20000000001</v>
      </c>
      <c r="J931" s="501">
        <v>0</v>
      </c>
    </row>
    <row r="932" spans="1:10" s="387" customFormat="1">
      <c r="A932" s="395"/>
      <c r="B932" s="396"/>
      <c r="C932" s="385"/>
      <c r="D932" s="385">
        <v>5129</v>
      </c>
      <c r="E932" s="385" t="s">
        <v>1135</v>
      </c>
      <c r="F932" s="389">
        <v>1455678.79</v>
      </c>
      <c r="G932" s="501">
        <v>871513.59999999998</v>
      </c>
      <c r="H932" s="501">
        <v>0</v>
      </c>
      <c r="I932" s="501">
        <v>0</v>
      </c>
      <c r="J932" s="501">
        <v>0</v>
      </c>
    </row>
    <row r="933" spans="1:10" s="387" customFormat="1">
      <c r="A933" s="395"/>
      <c r="B933" s="396"/>
      <c r="C933" s="385"/>
      <c r="D933" s="385">
        <v>5134</v>
      </c>
      <c r="E933" s="446" t="s">
        <v>1128</v>
      </c>
      <c r="F933" s="389">
        <v>9560.4699999999993</v>
      </c>
      <c r="G933" s="501">
        <v>0</v>
      </c>
      <c r="H933" s="501">
        <v>0</v>
      </c>
      <c r="I933" s="501">
        <v>0</v>
      </c>
      <c r="J933" s="501">
        <v>0</v>
      </c>
    </row>
    <row r="934" spans="1:10" ht="25.5">
      <c r="A934" s="408"/>
      <c r="B934" s="427">
        <v>1192</v>
      </c>
      <c r="C934" s="432" t="s">
        <v>774</v>
      </c>
      <c r="D934" s="432"/>
      <c r="E934" s="438" t="s">
        <v>775</v>
      </c>
      <c r="F934" s="426">
        <v>0</v>
      </c>
      <c r="G934" s="514">
        <f>+G935</f>
        <v>2648250</v>
      </c>
      <c r="H934" s="514">
        <f>+H935</f>
        <v>5819350</v>
      </c>
      <c r="I934" s="514">
        <f>+I935</f>
        <v>9384460</v>
      </c>
      <c r="J934" s="514">
        <f>+J935</f>
        <v>0</v>
      </c>
    </row>
    <row r="935" spans="1:10" s="387" customFormat="1">
      <c r="A935" s="395"/>
      <c r="B935" s="396"/>
      <c r="C935" s="385"/>
      <c r="D935" s="385">
        <v>5129</v>
      </c>
      <c r="E935" s="385" t="s">
        <v>1135</v>
      </c>
      <c r="F935" s="389">
        <v>0</v>
      </c>
      <c r="G935" s="501">
        <v>2648250</v>
      </c>
      <c r="H935" s="398">
        <f>3000000+2819350</f>
        <v>5819350</v>
      </c>
      <c r="I935" s="398">
        <f>3000000+6384460</f>
        <v>9384460</v>
      </c>
      <c r="J935" s="398"/>
    </row>
    <row r="936" spans="1:10" s="543" customFormat="1">
      <c r="A936" s="574">
        <v>17</v>
      </c>
      <c r="B936" s="555">
        <v>1193</v>
      </c>
      <c r="C936" s="605" t="s">
        <v>656</v>
      </c>
      <c r="D936" s="620"/>
      <c r="E936" s="607"/>
      <c r="F936" s="376">
        <f>SUM(F937,F940,F942,F943)</f>
        <v>3195304.23</v>
      </c>
      <c r="G936" s="497">
        <f>SUM(G937,G940,G942,G943,G943,G944)</f>
        <v>3767709.3</v>
      </c>
      <c r="H936" s="497">
        <f t="shared" ref="H936:J936" si="133">SUM(H937,H940,H942,H943,H943,H944)</f>
        <v>4511600</v>
      </c>
      <c r="I936" s="497">
        <f t="shared" si="133"/>
        <v>4787696.8999999994</v>
      </c>
      <c r="J936" s="497">
        <f t="shared" si="133"/>
        <v>5050432.0999999996</v>
      </c>
    </row>
    <row r="937" spans="1:10" s="394" customFormat="1" ht="51">
      <c r="A937" s="408"/>
      <c r="B937" s="373">
        <v>1193</v>
      </c>
      <c r="C937" s="421">
        <v>11001</v>
      </c>
      <c r="D937" s="421"/>
      <c r="E937" s="393" t="s">
        <v>657</v>
      </c>
      <c r="F937" s="388">
        <f>SUM(F938:F939)</f>
        <v>2973433.4</v>
      </c>
      <c r="G937" s="500">
        <f>SUM(G938:G939)</f>
        <v>3685609.5</v>
      </c>
      <c r="H937" s="500">
        <f>SUM(H938:H939)</f>
        <v>4079186.6</v>
      </c>
      <c r="I937" s="500">
        <f t="shared" ref="I937:J937" si="134">SUM(I938:I939)</f>
        <v>4092548.3</v>
      </c>
      <c r="J937" s="500">
        <f t="shared" si="134"/>
        <v>4092548.3</v>
      </c>
    </row>
    <row r="938" spans="1:10" s="397" customFormat="1" ht="38.25">
      <c r="A938" s="395"/>
      <c r="B938" s="396"/>
      <c r="C938" s="385"/>
      <c r="D938" s="385">
        <v>4637</v>
      </c>
      <c r="E938" s="385" t="s">
        <v>1121</v>
      </c>
      <c r="F938" s="389">
        <v>2973433.4</v>
      </c>
      <c r="G938" s="501">
        <v>3236178</v>
      </c>
      <c r="H938" s="501">
        <v>3551325.6</v>
      </c>
      <c r="I938" s="501">
        <v>3564687.3</v>
      </c>
      <c r="J938" s="501">
        <v>3564687.3</v>
      </c>
    </row>
    <row r="939" spans="1:10" s="397" customFormat="1">
      <c r="A939" s="395"/>
      <c r="B939" s="396"/>
      <c r="C939" s="385"/>
      <c r="D939" s="385">
        <v>4639</v>
      </c>
      <c r="E939" s="385" t="s">
        <v>1119</v>
      </c>
      <c r="F939" s="389"/>
      <c r="G939" s="501">
        <v>449431.5</v>
      </c>
      <c r="H939" s="501">
        <v>527861</v>
      </c>
      <c r="I939" s="501">
        <v>527861</v>
      </c>
      <c r="J939" s="501">
        <v>527861</v>
      </c>
    </row>
    <row r="940" spans="1:10" s="394" customFormat="1" ht="38.25">
      <c r="A940" s="408"/>
      <c r="B940" s="373">
        <v>1193</v>
      </c>
      <c r="C940" s="421">
        <v>11002</v>
      </c>
      <c r="D940" s="421"/>
      <c r="E940" s="393" t="s">
        <v>658</v>
      </c>
      <c r="F940" s="388">
        <f>+F941</f>
        <v>81002.8</v>
      </c>
      <c r="G940" s="500">
        <f>+G941</f>
        <v>82099.8</v>
      </c>
      <c r="H940" s="500">
        <f t="shared" ref="H940:J940" si="135">+H941</f>
        <v>82099.8</v>
      </c>
      <c r="I940" s="500">
        <f t="shared" si="135"/>
        <v>82099.8</v>
      </c>
      <c r="J940" s="500">
        <f t="shared" si="135"/>
        <v>82099.8</v>
      </c>
    </row>
    <row r="941" spans="1:10" s="397" customFormat="1">
      <c r="A941" s="395"/>
      <c r="B941" s="396"/>
      <c r="C941" s="385"/>
      <c r="D941" s="385">
        <v>4639</v>
      </c>
      <c r="E941" s="385" t="s">
        <v>1119</v>
      </c>
      <c r="F941" s="389">
        <v>81002.8</v>
      </c>
      <c r="G941" s="501">
        <v>82099.8</v>
      </c>
      <c r="H941" s="501">
        <v>82099.8</v>
      </c>
      <c r="I941" s="501">
        <v>82099.8</v>
      </c>
      <c r="J941" s="501">
        <v>82099.8</v>
      </c>
    </row>
    <row r="942" spans="1:10" s="394" customFormat="1" ht="50.25" customHeight="1" outlineLevel="1">
      <c r="A942" s="408"/>
      <c r="B942" s="373">
        <v>1193</v>
      </c>
      <c r="C942" s="421">
        <v>11003</v>
      </c>
      <c r="D942" s="421"/>
      <c r="E942" s="393" t="s">
        <v>659</v>
      </c>
      <c r="F942" s="388">
        <v>127031.54</v>
      </c>
      <c r="G942" s="500">
        <v>0</v>
      </c>
      <c r="H942" s="500">
        <v>0</v>
      </c>
      <c r="I942" s="500">
        <v>0</v>
      </c>
      <c r="J942" s="500">
        <v>0</v>
      </c>
    </row>
    <row r="943" spans="1:10" s="394" customFormat="1" ht="51" outlineLevel="1">
      <c r="A943" s="408"/>
      <c r="B943" s="427">
        <v>1193</v>
      </c>
      <c r="C943" s="432">
        <v>31001</v>
      </c>
      <c r="D943" s="432"/>
      <c r="E943" s="438" t="s">
        <v>776</v>
      </c>
      <c r="F943" s="426">
        <v>13836.49</v>
      </c>
      <c r="G943" s="514">
        <v>0</v>
      </c>
      <c r="H943" s="514">
        <v>0</v>
      </c>
      <c r="I943" s="514">
        <v>0</v>
      </c>
      <c r="J943" s="514">
        <v>0</v>
      </c>
    </row>
    <row r="944" spans="1:10" s="394" customFormat="1" ht="89.25" outlineLevel="1" collapsed="1">
      <c r="A944" s="408"/>
      <c r="B944" s="373">
        <v>1193</v>
      </c>
      <c r="C944" s="569" t="s">
        <v>413</v>
      </c>
      <c r="D944" s="421"/>
      <c r="E944" s="567" t="s">
        <v>660</v>
      </c>
      <c r="F944" s="388">
        <f>+F945</f>
        <v>0</v>
      </c>
      <c r="G944" s="500">
        <f>+G945</f>
        <v>0</v>
      </c>
      <c r="H944" s="500">
        <f>+H945</f>
        <v>350313.6</v>
      </c>
      <c r="I944" s="500">
        <f>+I945</f>
        <v>613048.80000000005</v>
      </c>
      <c r="J944" s="500">
        <f>+J945</f>
        <v>875784</v>
      </c>
    </row>
    <row r="945" spans="1:10" s="394" customFormat="1" outlineLevel="1">
      <c r="A945" s="408"/>
      <c r="B945" s="373"/>
      <c r="C945" s="421"/>
      <c r="D945" s="421"/>
      <c r="E945" s="572"/>
      <c r="F945" s="389"/>
      <c r="G945" s="501"/>
      <c r="H945" s="501">
        <v>350313.6</v>
      </c>
      <c r="I945" s="501">
        <v>613048.80000000005</v>
      </c>
      <c r="J945" s="501">
        <v>875784</v>
      </c>
    </row>
    <row r="946" spans="1:10" s="543" customFormat="1">
      <c r="A946" s="574">
        <v>18</v>
      </c>
      <c r="B946" s="555">
        <v>1196</v>
      </c>
      <c r="C946" s="605" t="s">
        <v>661</v>
      </c>
      <c r="D946" s="620"/>
      <c r="E946" s="607"/>
      <c r="F946" s="376">
        <f>SUM(F947,F970,F979)</f>
        <v>97340.5</v>
      </c>
      <c r="G946" s="497">
        <f>SUM(G947,G970,G979,G980)</f>
        <v>90650.4</v>
      </c>
      <c r="H946" s="497">
        <f t="shared" ref="H946:J946" si="136">SUM(H947,H970,H979,H980)</f>
        <v>3634746</v>
      </c>
      <c r="I946" s="497">
        <f t="shared" si="136"/>
        <v>428743.19999999995</v>
      </c>
      <c r="J946" s="497">
        <f t="shared" si="136"/>
        <v>428743.19999999995</v>
      </c>
    </row>
    <row r="947" spans="1:10" s="394" customFormat="1" ht="25.5">
      <c r="A947" s="408"/>
      <c r="B947" s="373">
        <v>1196</v>
      </c>
      <c r="C947" s="421">
        <v>11001</v>
      </c>
      <c r="D947" s="421"/>
      <c r="E947" s="393" t="s">
        <v>662</v>
      </c>
      <c r="F947" s="388">
        <f>SUM(F949,F951,F953,F955,F957,F959,F961,F963,F965,F967)</f>
        <v>22863.200000000004</v>
      </c>
      <c r="G947" s="500">
        <v>31707.4</v>
      </c>
      <c r="H947" s="500">
        <f>+H948</f>
        <v>341769.8</v>
      </c>
      <c r="I947" s="500">
        <f t="shared" ref="I947:J947" si="137">+I948</f>
        <v>341769.8</v>
      </c>
      <c r="J947" s="500">
        <f t="shared" si="137"/>
        <v>341769.8</v>
      </c>
    </row>
    <row r="948" spans="1:10" s="394" customFormat="1" ht="25.5" hidden="1">
      <c r="A948" s="408"/>
      <c r="B948" s="373"/>
      <c r="C948" s="421"/>
      <c r="D948" s="421"/>
      <c r="E948" s="428" t="s">
        <v>1123</v>
      </c>
      <c r="F948" s="388"/>
      <c r="G948" s="500"/>
      <c r="H948" s="529">
        <v>341769.8</v>
      </c>
      <c r="I948" s="529">
        <v>341769.8</v>
      </c>
      <c r="J948" s="529">
        <v>341769.8</v>
      </c>
    </row>
    <row r="949" spans="1:10" s="394" customFormat="1" hidden="1" outlineLevel="1">
      <c r="A949" s="408"/>
      <c r="B949" s="373"/>
      <c r="C949" s="421"/>
      <c r="D949" s="421"/>
      <c r="E949" s="428" t="s">
        <v>1141</v>
      </c>
      <c r="F949" s="545">
        <f>+F950</f>
        <v>1622.8</v>
      </c>
      <c r="G949" s="507">
        <f>+G950</f>
        <v>2495.9</v>
      </c>
      <c r="H949" s="507">
        <f>+H950</f>
        <v>0</v>
      </c>
      <c r="I949" s="507">
        <f>+I950</f>
        <v>0</v>
      </c>
      <c r="J949" s="507">
        <f>+J950</f>
        <v>0</v>
      </c>
    </row>
    <row r="950" spans="1:10" s="397" customFormat="1" hidden="1" outlineLevel="1">
      <c r="A950" s="395"/>
      <c r="B950" s="396"/>
      <c r="C950" s="385"/>
      <c r="D950" s="385">
        <v>4639</v>
      </c>
      <c r="E950" s="446" t="s">
        <v>1119</v>
      </c>
      <c r="F950" s="447">
        <v>1622.8</v>
      </c>
      <c r="G950" s="529">
        <v>2495.9</v>
      </c>
      <c r="H950" s="501"/>
      <c r="I950" s="501"/>
      <c r="J950" s="501"/>
    </row>
    <row r="951" spans="1:10" s="394" customFormat="1" hidden="1" outlineLevel="1">
      <c r="A951" s="408"/>
      <c r="B951" s="373"/>
      <c r="C951" s="421"/>
      <c r="D951" s="421"/>
      <c r="E951" s="428" t="s">
        <v>1142</v>
      </c>
      <c r="F951" s="545">
        <f>+F952</f>
        <v>967.80000000000007</v>
      </c>
      <c r="G951" s="507">
        <f>+G952</f>
        <v>1397.8</v>
      </c>
      <c r="H951" s="507">
        <f>+H952</f>
        <v>0</v>
      </c>
      <c r="I951" s="507">
        <f>+I952</f>
        <v>0</v>
      </c>
      <c r="J951" s="507">
        <f>+J952</f>
        <v>0</v>
      </c>
    </row>
    <row r="952" spans="1:10" s="397" customFormat="1" ht="38.25" hidden="1" outlineLevel="1">
      <c r="A952" s="395"/>
      <c r="B952" s="396"/>
      <c r="C952" s="385"/>
      <c r="D952" s="385">
        <v>4637</v>
      </c>
      <c r="E952" s="446" t="s">
        <v>1121</v>
      </c>
      <c r="F952" s="447">
        <v>967.80000000000007</v>
      </c>
      <c r="G952" s="529">
        <v>1397.8</v>
      </c>
      <c r="H952" s="501"/>
      <c r="I952" s="501"/>
      <c r="J952" s="501"/>
    </row>
    <row r="953" spans="1:10" s="394" customFormat="1" hidden="1" outlineLevel="1">
      <c r="A953" s="408"/>
      <c r="B953" s="373"/>
      <c r="C953" s="421"/>
      <c r="D953" s="421"/>
      <c r="E953" s="428" t="s">
        <v>1143</v>
      </c>
      <c r="F953" s="545">
        <f>+F954</f>
        <v>0</v>
      </c>
      <c r="G953" s="507">
        <f>+G954</f>
        <v>2874</v>
      </c>
      <c r="H953" s="507">
        <f>+H954</f>
        <v>0</v>
      </c>
      <c r="I953" s="507">
        <f>+I954</f>
        <v>0</v>
      </c>
      <c r="J953" s="507">
        <f>+J954</f>
        <v>0</v>
      </c>
    </row>
    <row r="954" spans="1:10" s="397" customFormat="1" hidden="1" outlineLevel="1">
      <c r="A954" s="395"/>
      <c r="B954" s="396"/>
      <c r="C954" s="385"/>
      <c r="D954" s="385">
        <v>4639</v>
      </c>
      <c r="E954" s="446" t="s">
        <v>1119</v>
      </c>
      <c r="F954" s="447">
        <v>0</v>
      </c>
      <c r="G954" s="529">
        <v>2874</v>
      </c>
      <c r="H954" s="501"/>
      <c r="I954" s="501"/>
      <c r="J954" s="501"/>
    </row>
    <row r="955" spans="1:10" s="394" customFormat="1" hidden="1" outlineLevel="1">
      <c r="A955" s="408"/>
      <c r="B955" s="373"/>
      <c r="C955" s="421"/>
      <c r="D955" s="421"/>
      <c r="E955" s="428" t="s">
        <v>1144</v>
      </c>
      <c r="F955" s="545">
        <f>+F956</f>
        <v>2020.5</v>
      </c>
      <c r="G955" s="507">
        <f>+G956</f>
        <v>2520.5</v>
      </c>
      <c r="H955" s="507">
        <f>+H956</f>
        <v>0</v>
      </c>
      <c r="I955" s="507">
        <f>+I956</f>
        <v>0</v>
      </c>
      <c r="J955" s="507">
        <f>+J956</f>
        <v>0</v>
      </c>
    </row>
    <row r="956" spans="1:10" s="397" customFormat="1" ht="38.25" hidden="1" outlineLevel="1">
      <c r="A956" s="395"/>
      <c r="B956" s="396"/>
      <c r="C956" s="385"/>
      <c r="D956" s="385">
        <v>4637</v>
      </c>
      <c r="E956" s="446" t="s">
        <v>1121</v>
      </c>
      <c r="F956" s="447">
        <v>2020.5</v>
      </c>
      <c r="G956" s="529">
        <v>2520.5</v>
      </c>
      <c r="H956" s="501"/>
      <c r="I956" s="501"/>
      <c r="J956" s="501"/>
    </row>
    <row r="957" spans="1:10" s="394" customFormat="1" hidden="1" outlineLevel="1">
      <c r="A957" s="408"/>
      <c r="B957" s="373"/>
      <c r="C957" s="421"/>
      <c r="D957" s="421"/>
      <c r="E957" s="428" t="s">
        <v>1145</v>
      </c>
      <c r="F957" s="545">
        <f>+F958</f>
        <v>2114</v>
      </c>
      <c r="G957" s="507">
        <f>+G958</f>
        <v>2537</v>
      </c>
      <c r="H957" s="507">
        <f>+H958</f>
        <v>0</v>
      </c>
      <c r="I957" s="507">
        <f>+I958</f>
        <v>0</v>
      </c>
      <c r="J957" s="507">
        <f>+J958</f>
        <v>0</v>
      </c>
    </row>
    <row r="958" spans="1:10" s="397" customFormat="1" hidden="1" outlineLevel="1">
      <c r="A958" s="395"/>
      <c r="B958" s="396"/>
      <c r="C958" s="385"/>
      <c r="D958" s="385">
        <v>4639</v>
      </c>
      <c r="E958" s="446" t="s">
        <v>1119</v>
      </c>
      <c r="F958" s="447">
        <v>2114</v>
      </c>
      <c r="G958" s="529">
        <v>2537</v>
      </c>
      <c r="H958" s="501"/>
      <c r="I958" s="501"/>
      <c r="J958" s="501"/>
    </row>
    <row r="959" spans="1:10" s="394" customFormat="1" hidden="1" outlineLevel="1">
      <c r="A959" s="408"/>
      <c r="B959" s="373"/>
      <c r="C959" s="421"/>
      <c r="D959" s="421"/>
      <c r="E959" s="428" t="s">
        <v>1146</v>
      </c>
      <c r="F959" s="545">
        <f>+F960</f>
        <v>2009.7</v>
      </c>
      <c r="G959" s="507">
        <f>+G960</f>
        <v>2009.7</v>
      </c>
      <c r="H959" s="507">
        <f>+H960</f>
        <v>0</v>
      </c>
      <c r="I959" s="507">
        <f>+I960</f>
        <v>0</v>
      </c>
      <c r="J959" s="507">
        <f>+J960</f>
        <v>0</v>
      </c>
    </row>
    <row r="960" spans="1:10" s="397" customFormat="1" ht="38.25" hidden="1" outlineLevel="1">
      <c r="A960" s="395"/>
      <c r="B960" s="396"/>
      <c r="C960" s="385"/>
      <c r="D960" s="385">
        <v>4637</v>
      </c>
      <c r="E960" s="446" t="s">
        <v>1121</v>
      </c>
      <c r="F960" s="447">
        <v>2009.7</v>
      </c>
      <c r="G960" s="529">
        <v>2009.7</v>
      </c>
      <c r="H960" s="501"/>
      <c r="I960" s="501"/>
      <c r="J960" s="501"/>
    </row>
    <row r="961" spans="1:10" s="394" customFormat="1" hidden="1" outlineLevel="1">
      <c r="A961" s="408"/>
      <c r="B961" s="373"/>
      <c r="C961" s="421"/>
      <c r="D961" s="421"/>
      <c r="E961" s="428" t="s">
        <v>1147</v>
      </c>
      <c r="F961" s="545">
        <f>+F962</f>
        <v>3229.8</v>
      </c>
      <c r="G961" s="507">
        <f>+G962</f>
        <v>3876.5</v>
      </c>
      <c r="H961" s="507"/>
      <c r="I961" s="507"/>
      <c r="J961" s="507"/>
    </row>
    <row r="962" spans="1:10" s="397" customFormat="1" hidden="1" outlineLevel="1">
      <c r="A962" s="395"/>
      <c r="B962" s="396"/>
      <c r="C962" s="385"/>
      <c r="D962" s="385">
        <v>4639</v>
      </c>
      <c r="E962" s="446" t="s">
        <v>1119</v>
      </c>
      <c r="F962" s="447">
        <v>3229.8</v>
      </c>
      <c r="G962" s="529">
        <v>3876.5</v>
      </c>
      <c r="H962" s="501"/>
      <c r="I962" s="501"/>
      <c r="J962" s="501"/>
    </row>
    <row r="963" spans="1:10" s="394" customFormat="1" hidden="1" outlineLevel="1">
      <c r="A963" s="408"/>
      <c r="B963" s="373"/>
      <c r="C963" s="421"/>
      <c r="D963" s="421"/>
      <c r="E963" s="428" t="s">
        <v>1148</v>
      </c>
      <c r="F963" s="545">
        <f>+F964</f>
        <v>6462.6</v>
      </c>
      <c r="G963" s="507">
        <f>+G964</f>
        <v>8303.2999999999993</v>
      </c>
      <c r="H963" s="507">
        <f>+H964</f>
        <v>0</v>
      </c>
      <c r="I963" s="507">
        <f>+I964</f>
        <v>0</v>
      </c>
      <c r="J963" s="507">
        <f>+J964</f>
        <v>0</v>
      </c>
    </row>
    <row r="964" spans="1:10" s="397" customFormat="1" ht="38.25" hidden="1" outlineLevel="1">
      <c r="A964" s="395"/>
      <c r="B964" s="396"/>
      <c r="C964" s="385"/>
      <c r="D964" s="385">
        <v>4637</v>
      </c>
      <c r="E964" s="446" t="s">
        <v>1121</v>
      </c>
      <c r="F964" s="447">
        <v>6462.6</v>
      </c>
      <c r="G964" s="529">
        <v>8303.2999999999993</v>
      </c>
      <c r="H964" s="501"/>
      <c r="I964" s="501"/>
      <c r="J964" s="501"/>
    </row>
    <row r="965" spans="1:10" s="394" customFormat="1" hidden="1" outlineLevel="1">
      <c r="A965" s="408"/>
      <c r="B965" s="373"/>
      <c r="C965" s="421"/>
      <c r="D965" s="421"/>
      <c r="E965" s="428" t="s">
        <v>1149</v>
      </c>
      <c r="F965" s="545">
        <f>+F966</f>
        <v>2600</v>
      </c>
      <c r="G965" s="507">
        <f>+G966</f>
        <v>3120</v>
      </c>
      <c r="H965" s="507">
        <f>+H966</f>
        <v>0</v>
      </c>
      <c r="I965" s="507">
        <f>+I966</f>
        <v>0</v>
      </c>
      <c r="J965" s="507">
        <f>+J966</f>
        <v>0</v>
      </c>
    </row>
    <row r="966" spans="1:10" s="397" customFormat="1" ht="38.25" hidden="1" outlineLevel="1">
      <c r="A966" s="395"/>
      <c r="B966" s="396"/>
      <c r="C966" s="385"/>
      <c r="D966" s="385">
        <v>4637</v>
      </c>
      <c r="E966" s="446" t="s">
        <v>1121</v>
      </c>
      <c r="F966" s="447">
        <v>2600</v>
      </c>
      <c r="G966" s="529">
        <v>3120</v>
      </c>
      <c r="H966" s="501"/>
      <c r="I966" s="501"/>
      <c r="J966" s="501"/>
    </row>
    <row r="967" spans="1:10" s="394" customFormat="1" hidden="1" outlineLevel="1">
      <c r="A967" s="408"/>
      <c r="B967" s="373"/>
      <c r="C967" s="421"/>
      <c r="D967" s="421"/>
      <c r="E967" s="428" t="s">
        <v>1150</v>
      </c>
      <c r="F967" s="545">
        <f>+F968+F969</f>
        <v>1836</v>
      </c>
      <c r="G967" s="507">
        <f>+G968+G969</f>
        <v>2572.6999999999998</v>
      </c>
      <c r="H967" s="507">
        <f>+H968+H969</f>
        <v>0</v>
      </c>
      <c r="I967" s="507">
        <f>+I968+I969</f>
        <v>0</v>
      </c>
      <c r="J967" s="507">
        <f>+J968+J969</f>
        <v>0</v>
      </c>
    </row>
    <row r="968" spans="1:10" s="397" customFormat="1" ht="38.25" hidden="1" outlineLevel="1">
      <c r="A968" s="395"/>
      <c r="B968" s="396"/>
      <c r="C968" s="385"/>
      <c r="D968" s="385">
        <v>4637</v>
      </c>
      <c r="E968" s="446" t="s">
        <v>1121</v>
      </c>
      <c r="F968" s="447">
        <v>1836</v>
      </c>
      <c r="G968" s="529">
        <v>1344</v>
      </c>
      <c r="H968" s="501"/>
      <c r="I968" s="501"/>
      <c r="J968" s="501"/>
    </row>
    <row r="969" spans="1:10" s="397" customFormat="1" hidden="1" outlineLevel="1">
      <c r="A969" s="395"/>
      <c r="B969" s="396"/>
      <c r="C969" s="385"/>
      <c r="D969" s="385">
        <v>4639</v>
      </c>
      <c r="E969" s="446" t="s">
        <v>1119</v>
      </c>
      <c r="F969" s="389"/>
      <c r="G969" s="529">
        <v>1228.7</v>
      </c>
      <c r="H969" s="501"/>
      <c r="I969" s="501"/>
      <c r="J969" s="501"/>
    </row>
    <row r="970" spans="1:10" s="394" customFormat="1" ht="25.5" hidden="1">
      <c r="A970" s="408"/>
      <c r="B970" s="373">
        <v>1196</v>
      </c>
      <c r="C970" s="421">
        <v>11002</v>
      </c>
      <c r="D970" s="421"/>
      <c r="E970" s="393" t="s">
        <v>663</v>
      </c>
      <c r="F970" s="388">
        <f>SUM(F971,F973,F975,F977)</f>
        <v>49246.6</v>
      </c>
      <c r="G970" s="500">
        <f>SUM(G971,G973,G975,G977)</f>
        <v>58943</v>
      </c>
      <c r="H970" s="500">
        <f>SUM(H971,H973,H975,H977)</f>
        <v>86973.4</v>
      </c>
      <c r="I970" s="500">
        <f>SUM(I971,I973,I975,I977)</f>
        <v>86973.4</v>
      </c>
      <c r="J970" s="500">
        <f>SUM(J971,J973,J975,J977)</f>
        <v>86973.4</v>
      </c>
    </row>
    <row r="971" spans="1:10" s="394" customFormat="1" ht="25.5" hidden="1">
      <c r="A971" s="408"/>
      <c r="B971" s="373"/>
      <c r="C971" s="421"/>
      <c r="D971" s="421"/>
      <c r="E971" s="428" t="s">
        <v>1123</v>
      </c>
      <c r="F971" s="545">
        <f>+F972</f>
        <v>40717.199999999997</v>
      </c>
      <c r="G971" s="507">
        <f>+G972</f>
        <v>48880.6</v>
      </c>
      <c r="H971" s="507">
        <f>+H972</f>
        <v>86973.4</v>
      </c>
      <c r="I971" s="507">
        <f>+I972</f>
        <v>86973.4</v>
      </c>
      <c r="J971" s="507">
        <f>+J972</f>
        <v>86973.4</v>
      </c>
    </row>
    <row r="972" spans="1:10" s="451" customFormat="1" ht="38.25" hidden="1">
      <c r="A972" s="448"/>
      <c r="B972" s="449"/>
      <c r="C972" s="450"/>
      <c r="D972" s="385">
        <v>4637</v>
      </c>
      <c r="E972" s="446" t="s">
        <v>1121</v>
      </c>
      <c r="F972" s="447">
        <v>40717.199999999997</v>
      </c>
      <c r="G972" s="529">
        <v>48880.6</v>
      </c>
      <c r="H972" s="529">
        <v>86973.4</v>
      </c>
      <c r="I972" s="529">
        <v>86973.4</v>
      </c>
      <c r="J972" s="529">
        <v>86973.4</v>
      </c>
    </row>
    <row r="973" spans="1:10" hidden="1">
      <c r="A973" s="359"/>
      <c r="B973" s="373"/>
      <c r="C973" s="371"/>
      <c r="D973" s="421"/>
      <c r="E973" s="406" t="s">
        <v>1146</v>
      </c>
      <c r="F973" s="407">
        <f>+F974</f>
        <v>2914.3</v>
      </c>
      <c r="G973" s="506">
        <f>+G974</f>
        <v>2914.3</v>
      </c>
      <c r="H973" s="507">
        <f>+H974</f>
        <v>0</v>
      </c>
      <c r="I973" s="507">
        <f>+I974</f>
        <v>0</v>
      </c>
      <c r="J973" s="507">
        <f>+J974</f>
        <v>0</v>
      </c>
    </row>
    <row r="974" spans="1:10" s="451" customFormat="1" ht="38.25" hidden="1">
      <c r="A974" s="448"/>
      <c r="B974" s="449"/>
      <c r="C974" s="450"/>
      <c r="D974" s="385">
        <v>4637</v>
      </c>
      <c r="E974" s="446" t="s">
        <v>1121</v>
      </c>
      <c r="F974" s="447">
        <v>2914.3</v>
      </c>
      <c r="G974" s="529">
        <v>2914.3</v>
      </c>
      <c r="H974" s="529">
        <v>0</v>
      </c>
      <c r="I974" s="529">
        <v>0</v>
      </c>
      <c r="J974" s="529">
        <v>0</v>
      </c>
    </row>
    <row r="975" spans="1:10" hidden="1">
      <c r="A975" s="359"/>
      <c r="B975" s="373"/>
      <c r="C975" s="371"/>
      <c r="D975" s="421"/>
      <c r="E975" s="406" t="s">
        <v>1148</v>
      </c>
      <c r="F975" s="407">
        <f>+F976</f>
        <v>3144.4</v>
      </c>
      <c r="G975" s="506">
        <f>+G976</f>
        <v>3981.7</v>
      </c>
      <c r="H975" s="507">
        <f>+H976</f>
        <v>0</v>
      </c>
      <c r="I975" s="507">
        <f>+I976</f>
        <v>0</v>
      </c>
      <c r="J975" s="507">
        <f>+J976</f>
        <v>0</v>
      </c>
    </row>
    <row r="976" spans="1:10" s="451" customFormat="1" ht="38.25" hidden="1">
      <c r="A976" s="448"/>
      <c r="B976" s="449"/>
      <c r="C976" s="450"/>
      <c r="D976" s="385">
        <v>4637</v>
      </c>
      <c r="E976" s="446" t="s">
        <v>1121</v>
      </c>
      <c r="F976" s="447">
        <v>3144.4</v>
      </c>
      <c r="G976" s="529">
        <v>3981.7</v>
      </c>
      <c r="H976" s="529">
        <v>0</v>
      </c>
      <c r="I976" s="529">
        <v>0</v>
      </c>
      <c r="J976" s="529">
        <v>0</v>
      </c>
    </row>
    <row r="977" spans="1:10" hidden="1">
      <c r="A977" s="359"/>
      <c r="B977" s="373"/>
      <c r="C977" s="371"/>
      <c r="D977" s="421"/>
      <c r="E977" s="406" t="s">
        <v>1149</v>
      </c>
      <c r="F977" s="407">
        <f>+F978</f>
        <v>2470.6999999999998</v>
      </c>
      <c r="G977" s="506">
        <f>+G978</f>
        <v>3166.4</v>
      </c>
      <c r="H977" s="507">
        <f>+H978</f>
        <v>0</v>
      </c>
      <c r="I977" s="507">
        <f>+I978</f>
        <v>0</v>
      </c>
      <c r="J977" s="507">
        <f>+J978</f>
        <v>0</v>
      </c>
    </row>
    <row r="978" spans="1:10" s="451" customFormat="1" ht="38.25" hidden="1">
      <c r="A978" s="448"/>
      <c r="B978" s="449"/>
      <c r="C978" s="450"/>
      <c r="D978" s="385">
        <v>4637</v>
      </c>
      <c r="E978" s="446" t="s">
        <v>1121</v>
      </c>
      <c r="F978" s="447">
        <v>2470.6999999999998</v>
      </c>
      <c r="G978" s="529">
        <v>3166.4</v>
      </c>
      <c r="H978" s="529">
        <v>0</v>
      </c>
      <c r="I978" s="529">
        <v>0</v>
      </c>
      <c r="J978" s="529">
        <v>0</v>
      </c>
    </row>
    <row r="979" spans="1:10" s="394" customFormat="1" ht="38.25" outlineLevel="1">
      <c r="A979" s="408"/>
      <c r="B979" s="427">
        <v>1196</v>
      </c>
      <c r="C979" s="432">
        <v>12001</v>
      </c>
      <c r="D979" s="432"/>
      <c r="E979" s="438" t="s">
        <v>777</v>
      </c>
      <c r="F979" s="426">
        <v>25230.7</v>
      </c>
      <c r="G979" s="514">
        <v>0</v>
      </c>
      <c r="H979" s="514">
        <v>0</v>
      </c>
      <c r="I979" s="514">
        <v>0</v>
      </c>
      <c r="J979" s="514">
        <v>0</v>
      </c>
    </row>
    <row r="980" spans="1:10" s="394" customFormat="1" ht="25.5">
      <c r="A980" s="408"/>
      <c r="B980" s="427">
        <v>1196</v>
      </c>
      <c r="C980" s="569" t="s">
        <v>465</v>
      </c>
      <c r="D980" s="421" t="s">
        <v>413</v>
      </c>
      <c r="E980" s="393" t="s">
        <v>1182</v>
      </c>
      <c r="F980" s="419">
        <f>+F981</f>
        <v>0</v>
      </c>
      <c r="G980" s="509">
        <f>+G981</f>
        <v>0</v>
      </c>
      <c r="H980" s="509">
        <f>+H981</f>
        <v>3206002.8000000003</v>
      </c>
      <c r="I980" s="509">
        <f>+I981</f>
        <v>0</v>
      </c>
      <c r="J980" s="509">
        <f>+J981</f>
        <v>0</v>
      </c>
    </row>
    <row r="981" spans="1:10" s="397" customFormat="1">
      <c r="A981" s="395"/>
      <c r="B981" s="396"/>
      <c r="C981" s="385"/>
      <c r="D981" s="385">
        <v>4655</v>
      </c>
      <c r="E981" s="385" t="s">
        <v>1134</v>
      </c>
      <c r="F981" s="389"/>
      <c r="G981" s="501"/>
      <c r="H981" s="501">
        <v>3206002.8000000003</v>
      </c>
      <c r="I981" s="501">
        <v>0</v>
      </c>
      <c r="J981" s="501">
        <v>0</v>
      </c>
    </row>
    <row r="982" spans="1:10" s="543" customFormat="1" ht="15">
      <c r="A982" s="574">
        <v>19</v>
      </c>
      <c r="B982" s="555">
        <v>1198</v>
      </c>
      <c r="C982" s="605" t="s">
        <v>665</v>
      </c>
      <c r="D982" s="622"/>
      <c r="E982" s="623"/>
      <c r="F982" s="376">
        <f>SUM(F983,F986,F988,F990,F992,F1015,F1017,F1019,F1022)</f>
        <v>338641.2</v>
      </c>
      <c r="G982" s="497">
        <f>SUM(G983,G986,G988,G990,G992,G1015,G1017,G1019,G1022)</f>
        <v>824624.9</v>
      </c>
      <c r="H982" s="497">
        <f t="shared" ref="H982:J982" si="138">SUM(H983,H986,H988,H990,H992,H1015,H1017,H1019,H1022)</f>
        <v>1033825.7</v>
      </c>
      <c r="I982" s="497">
        <f t="shared" si="138"/>
        <v>1033825.7</v>
      </c>
      <c r="J982" s="497">
        <f t="shared" si="138"/>
        <v>1033825.7</v>
      </c>
    </row>
    <row r="983" spans="1:10" ht="25.5">
      <c r="A983" s="359"/>
      <c r="B983" s="378">
        <v>1198</v>
      </c>
      <c r="C983" s="371">
        <v>11001</v>
      </c>
      <c r="D983" s="371"/>
      <c r="E983" s="380" t="s">
        <v>666</v>
      </c>
      <c r="F983" s="381">
        <f>SUM(F984:F985)</f>
        <v>41078.1</v>
      </c>
      <c r="G983" s="498">
        <f>SUM(G984:G985)</f>
        <v>41436.199999999997</v>
      </c>
      <c r="H983" s="498">
        <f>SUM(H984:H985)</f>
        <v>41436.199999999997</v>
      </c>
      <c r="I983" s="498">
        <f>SUM(I984:I985)</f>
        <v>41436.199999999997</v>
      </c>
      <c r="J983" s="498">
        <f>SUM(J984:J985)</f>
        <v>41436.199999999997</v>
      </c>
    </row>
    <row r="984" spans="1:10" s="387" customFormat="1" ht="38.25">
      <c r="A984" s="382"/>
      <c r="B984" s="383"/>
      <c r="C984" s="371"/>
      <c r="D984" s="385">
        <v>4637</v>
      </c>
      <c r="E984" s="446" t="s">
        <v>1121</v>
      </c>
      <c r="F984" s="386">
        <v>9641.9</v>
      </c>
      <c r="G984" s="499">
        <v>10000</v>
      </c>
      <c r="H984" s="499">
        <v>10000</v>
      </c>
      <c r="I984" s="499">
        <v>10000</v>
      </c>
      <c r="J984" s="499">
        <v>10000</v>
      </c>
    </row>
    <row r="985" spans="1:10" s="387" customFormat="1">
      <c r="A985" s="382"/>
      <c r="B985" s="383"/>
      <c r="C985" s="384"/>
      <c r="D985" s="385">
        <v>4639</v>
      </c>
      <c r="E985" s="446" t="s">
        <v>1119</v>
      </c>
      <c r="F985" s="386">
        <v>31436.2</v>
      </c>
      <c r="G985" s="499">
        <v>31436.2</v>
      </c>
      <c r="H985" s="499">
        <v>31436.2</v>
      </c>
      <c r="I985" s="499">
        <v>31436.2</v>
      </c>
      <c r="J985" s="499">
        <v>31436.2</v>
      </c>
    </row>
    <row r="986" spans="1:10" ht="38.25">
      <c r="A986" s="359"/>
      <c r="B986" s="378">
        <v>1198</v>
      </c>
      <c r="C986" s="371">
        <v>11002</v>
      </c>
      <c r="D986" s="371"/>
      <c r="E986" s="380" t="s">
        <v>667</v>
      </c>
      <c r="F986" s="381">
        <f>+F987</f>
        <v>17100</v>
      </c>
      <c r="G986" s="498">
        <f>+G987</f>
        <v>17100</v>
      </c>
      <c r="H986" s="500">
        <f>+H987</f>
        <v>21100</v>
      </c>
      <c r="I986" s="500">
        <f>+I987</f>
        <v>21100</v>
      </c>
      <c r="J986" s="500">
        <f>+J987</f>
        <v>21100</v>
      </c>
    </row>
    <row r="987" spans="1:10" s="387" customFormat="1">
      <c r="A987" s="382"/>
      <c r="B987" s="383"/>
      <c r="C987" s="371"/>
      <c r="D987" s="385">
        <v>4200</v>
      </c>
      <c r="E987" s="385" t="s">
        <v>1164</v>
      </c>
      <c r="F987" s="386">
        <v>17100</v>
      </c>
      <c r="G987" s="499">
        <v>17100</v>
      </c>
      <c r="H987" s="501">
        <v>21100</v>
      </c>
      <c r="I987" s="501">
        <v>21100</v>
      </c>
      <c r="J987" s="501">
        <v>21100</v>
      </c>
    </row>
    <row r="988" spans="1:10" ht="25.5">
      <c r="A988" s="359"/>
      <c r="B988" s="378">
        <v>1198</v>
      </c>
      <c r="C988" s="371">
        <v>11003</v>
      </c>
      <c r="D988" s="371"/>
      <c r="E988" s="452" t="s">
        <v>1165</v>
      </c>
      <c r="F988" s="381">
        <f>+F989</f>
        <v>12380</v>
      </c>
      <c r="G988" s="498">
        <f>+G989</f>
        <v>15000</v>
      </c>
      <c r="H988" s="500">
        <f>+H989</f>
        <v>15000</v>
      </c>
      <c r="I988" s="500">
        <f>+I989</f>
        <v>15000</v>
      </c>
      <c r="J988" s="500">
        <f>+J989</f>
        <v>15000</v>
      </c>
    </row>
    <row r="989" spans="1:10" s="397" customFormat="1">
      <c r="A989" s="395"/>
      <c r="B989" s="396"/>
      <c r="C989" s="371"/>
      <c r="D989" s="385">
        <v>5129</v>
      </c>
      <c r="E989" s="446" t="s">
        <v>1135</v>
      </c>
      <c r="F989" s="389">
        <v>12380</v>
      </c>
      <c r="G989" s="501">
        <v>15000</v>
      </c>
      <c r="H989" s="501">
        <v>15000</v>
      </c>
      <c r="I989" s="501">
        <v>15000</v>
      </c>
      <c r="J989" s="501">
        <v>15000</v>
      </c>
    </row>
    <row r="990" spans="1:10" ht="38.25">
      <c r="A990" s="359"/>
      <c r="B990" s="378">
        <v>1198</v>
      </c>
      <c r="C990" s="371">
        <v>11004</v>
      </c>
      <c r="D990" s="371"/>
      <c r="E990" s="380" t="s">
        <v>668</v>
      </c>
      <c r="F990" s="381">
        <f>+F991</f>
        <v>12000</v>
      </c>
      <c r="G990" s="498">
        <f>+G991</f>
        <v>12000</v>
      </c>
      <c r="H990" s="500">
        <f>+H991</f>
        <v>12000</v>
      </c>
      <c r="I990" s="500">
        <f>+I991</f>
        <v>12000</v>
      </c>
      <c r="J990" s="500">
        <f>+J991</f>
        <v>12000</v>
      </c>
    </row>
    <row r="991" spans="1:10">
      <c r="A991" s="359"/>
      <c r="B991" s="378"/>
      <c r="C991" s="371"/>
      <c r="D991" s="385">
        <v>4639</v>
      </c>
      <c r="E991" s="446" t="s">
        <v>1119</v>
      </c>
      <c r="F991" s="389">
        <v>12000</v>
      </c>
      <c r="G991" s="501">
        <v>12000</v>
      </c>
      <c r="H991" s="501">
        <v>12000</v>
      </c>
      <c r="I991" s="501">
        <v>12000</v>
      </c>
      <c r="J991" s="501">
        <v>12000</v>
      </c>
    </row>
    <row r="992" spans="1:10" ht="25.5">
      <c r="A992" s="359"/>
      <c r="B992" s="378">
        <v>1198</v>
      </c>
      <c r="C992" s="371">
        <v>11005</v>
      </c>
      <c r="D992" s="371"/>
      <c r="E992" s="380" t="s">
        <v>669</v>
      </c>
      <c r="F992" s="381">
        <f>SUM(F993,F995,F997,F999,F1001,F1003,F1005,F1007,F1009,F1011,F1013)</f>
        <v>256083.1</v>
      </c>
      <c r="G992" s="498">
        <f>SUM(G993,G995,G997,G999,G1001,G1003,G1005,G1007,G1009,G1011,G1013)</f>
        <v>257317.6</v>
      </c>
      <c r="H992" s="498">
        <f>SUM(H993,H995,H997,H999,H1001,H1003,H1005,H1007,H1009,H1011,H1013)</f>
        <v>257317.6</v>
      </c>
      <c r="I992" s="498">
        <f>SUM(I993,I995,I997,I999,I1001,I1003,I1005,I1007,I1009,I1011,I1013)</f>
        <v>257317.6</v>
      </c>
      <c r="J992" s="498">
        <f>SUM(J993,J995,J997,J999,J1001,J1003,J1005,J1007,J1009,J1011,J1013)</f>
        <v>257317.6</v>
      </c>
    </row>
    <row r="993" spans="1:10" s="457" customFormat="1" ht="25.5" hidden="1">
      <c r="A993" s="453"/>
      <c r="B993" s="454"/>
      <c r="C993" s="371"/>
      <c r="D993" s="455"/>
      <c r="E993" s="406" t="s">
        <v>1140</v>
      </c>
      <c r="F993" s="456">
        <f>+F994</f>
        <v>60353.9</v>
      </c>
      <c r="G993" s="530">
        <f>+G994</f>
        <v>60353.9</v>
      </c>
      <c r="H993" s="530">
        <f>+H994</f>
        <v>60353.9</v>
      </c>
      <c r="I993" s="530">
        <f>+I994</f>
        <v>60353.9</v>
      </c>
      <c r="J993" s="530">
        <f>+J994</f>
        <v>60353.9</v>
      </c>
    </row>
    <row r="994" spans="1:10" s="461" customFormat="1" hidden="1">
      <c r="A994" s="458"/>
      <c r="B994" s="459"/>
      <c r="C994" s="460"/>
      <c r="D994" s="385">
        <v>4632</v>
      </c>
      <c r="E994" s="446" t="s">
        <v>1158</v>
      </c>
      <c r="F994" s="447">
        <v>60353.9</v>
      </c>
      <c r="G994" s="531">
        <v>60353.9</v>
      </c>
      <c r="H994" s="531">
        <v>60353.9</v>
      </c>
      <c r="I994" s="531">
        <v>60353.9</v>
      </c>
      <c r="J994" s="531">
        <v>60353.9</v>
      </c>
    </row>
    <row r="995" spans="1:10" s="457" customFormat="1" hidden="1">
      <c r="A995" s="453"/>
      <c r="B995" s="454"/>
      <c r="C995" s="455"/>
      <c r="D995" s="455"/>
      <c r="E995" s="406" t="s">
        <v>1141</v>
      </c>
      <c r="F995" s="456">
        <f>+F996</f>
        <v>8715.4</v>
      </c>
      <c r="G995" s="530">
        <f>+G996</f>
        <v>8715.4</v>
      </c>
      <c r="H995" s="530">
        <f>+H996</f>
        <v>8715.4</v>
      </c>
      <c r="I995" s="530">
        <f>+I996</f>
        <v>8715.4</v>
      </c>
      <c r="J995" s="530">
        <f>+J996</f>
        <v>8715.4</v>
      </c>
    </row>
    <row r="996" spans="1:10" s="461" customFormat="1" hidden="1">
      <c r="A996" s="458"/>
      <c r="B996" s="459"/>
      <c r="C996" s="460"/>
      <c r="D996" s="385">
        <v>4632</v>
      </c>
      <c r="E996" s="446" t="s">
        <v>1158</v>
      </c>
      <c r="F996" s="447">
        <v>8715.4</v>
      </c>
      <c r="G996" s="529">
        <v>8715.4</v>
      </c>
      <c r="H996" s="529">
        <v>8715.4</v>
      </c>
      <c r="I996" s="529">
        <v>8715.4</v>
      </c>
      <c r="J996" s="529">
        <v>8715.4</v>
      </c>
    </row>
    <row r="997" spans="1:10" s="457" customFormat="1" hidden="1">
      <c r="A997" s="453"/>
      <c r="B997" s="454"/>
      <c r="C997" s="455"/>
      <c r="D997" s="455"/>
      <c r="E997" s="406" t="s">
        <v>1142</v>
      </c>
      <c r="F997" s="456">
        <f>+F998</f>
        <v>13290.9</v>
      </c>
      <c r="G997" s="530">
        <f>+G998</f>
        <v>13290.9</v>
      </c>
      <c r="H997" s="530">
        <f>+H998</f>
        <v>13290.9</v>
      </c>
      <c r="I997" s="530">
        <f>+I998</f>
        <v>13290.9</v>
      </c>
      <c r="J997" s="530">
        <f>+J998</f>
        <v>13290.9</v>
      </c>
    </row>
    <row r="998" spans="1:10" s="461" customFormat="1" hidden="1">
      <c r="A998" s="458"/>
      <c r="B998" s="459"/>
      <c r="C998" s="460"/>
      <c r="D998" s="385">
        <v>4632</v>
      </c>
      <c r="E998" s="446" t="s">
        <v>1158</v>
      </c>
      <c r="F998" s="447">
        <v>13290.9</v>
      </c>
      <c r="G998" s="529">
        <v>13290.9</v>
      </c>
      <c r="H998" s="529">
        <v>13290.9</v>
      </c>
      <c r="I998" s="529">
        <v>13290.9</v>
      </c>
      <c r="J998" s="529">
        <v>13290.9</v>
      </c>
    </row>
    <row r="999" spans="1:10" s="457" customFormat="1" hidden="1">
      <c r="A999" s="453"/>
      <c r="B999" s="454"/>
      <c r="C999" s="455"/>
      <c r="D999" s="455"/>
      <c r="E999" s="406" t="s">
        <v>1143</v>
      </c>
      <c r="F999" s="456">
        <f>+F1000</f>
        <v>17866.5</v>
      </c>
      <c r="G999" s="530">
        <f>+G1000</f>
        <v>17866.5</v>
      </c>
      <c r="H999" s="530">
        <f>+H1000</f>
        <v>17866.5</v>
      </c>
      <c r="I999" s="530">
        <f>+I1000</f>
        <v>17866.5</v>
      </c>
      <c r="J999" s="530">
        <f>+J1000</f>
        <v>17866.5</v>
      </c>
    </row>
    <row r="1000" spans="1:10" s="461" customFormat="1" hidden="1">
      <c r="A1000" s="458"/>
      <c r="B1000" s="459"/>
      <c r="C1000" s="460"/>
      <c r="D1000" s="385">
        <v>4632</v>
      </c>
      <c r="E1000" s="446" t="s">
        <v>1158</v>
      </c>
      <c r="F1000" s="447">
        <v>17866.5</v>
      </c>
      <c r="G1000" s="529">
        <v>17866.5</v>
      </c>
      <c r="H1000" s="529">
        <v>17866.5</v>
      </c>
      <c r="I1000" s="529">
        <v>17866.5</v>
      </c>
      <c r="J1000" s="529">
        <v>17866.5</v>
      </c>
    </row>
    <row r="1001" spans="1:10" s="457" customFormat="1" hidden="1">
      <c r="A1001" s="453"/>
      <c r="B1001" s="454"/>
      <c r="C1001" s="455"/>
      <c r="D1001" s="455"/>
      <c r="E1001" s="406" t="s">
        <v>1144</v>
      </c>
      <c r="F1001" s="456">
        <f>+F1002</f>
        <v>20481.100000000002</v>
      </c>
      <c r="G1001" s="530">
        <f>+G1002</f>
        <v>20481.099999999999</v>
      </c>
      <c r="H1001" s="530">
        <f>+H1002</f>
        <v>20481.099999999999</v>
      </c>
      <c r="I1001" s="530">
        <f>+I1002</f>
        <v>20481.099999999999</v>
      </c>
      <c r="J1001" s="530">
        <f>+J1002</f>
        <v>20481.099999999999</v>
      </c>
    </row>
    <row r="1002" spans="1:10" s="461" customFormat="1" hidden="1">
      <c r="A1002" s="458"/>
      <c r="B1002" s="459"/>
      <c r="C1002" s="460"/>
      <c r="D1002" s="385">
        <v>4632</v>
      </c>
      <c r="E1002" s="446" t="s">
        <v>1158</v>
      </c>
      <c r="F1002" s="447">
        <v>20481.100000000002</v>
      </c>
      <c r="G1002" s="529">
        <v>20481.099999999999</v>
      </c>
      <c r="H1002" s="529">
        <v>20481.099999999999</v>
      </c>
      <c r="I1002" s="529">
        <v>20481.099999999999</v>
      </c>
      <c r="J1002" s="529">
        <v>20481.099999999999</v>
      </c>
    </row>
    <row r="1003" spans="1:10" s="457" customFormat="1" hidden="1">
      <c r="A1003" s="453"/>
      <c r="B1003" s="454"/>
      <c r="C1003" s="455"/>
      <c r="D1003" s="455"/>
      <c r="E1003" s="406" t="s">
        <v>1145</v>
      </c>
      <c r="F1003" s="456">
        <f>+F1004</f>
        <v>16123.4</v>
      </c>
      <c r="G1003" s="530">
        <f>+G1004</f>
        <v>16123.4</v>
      </c>
      <c r="H1003" s="530">
        <f>+H1004</f>
        <v>16123.4</v>
      </c>
      <c r="I1003" s="530">
        <f>+I1004</f>
        <v>16123.4</v>
      </c>
      <c r="J1003" s="530">
        <f>+J1004</f>
        <v>16123.4</v>
      </c>
    </row>
    <row r="1004" spans="1:10" s="461" customFormat="1" hidden="1">
      <c r="A1004" s="458"/>
      <c r="B1004" s="459"/>
      <c r="C1004" s="460"/>
      <c r="D1004" s="385">
        <v>4632</v>
      </c>
      <c r="E1004" s="446" t="s">
        <v>1158</v>
      </c>
      <c r="F1004" s="447">
        <v>16123.4</v>
      </c>
      <c r="G1004" s="529">
        <v>16123.4</v>
      </c>
      <c r="H1004" s="529">
        <v>16123.4</v>
      </c>
      <c r="I1004" s="529">
        <v>16123.4</v>
      </c>
      <c r="J1004" s="529">
        <v>16123.4</v>
      </c>
    </row>
    <row r="1005" spans="1:10" s="457" customFormat="1" hidden="1">
      <c r="A1005" s="453"/>
      <c r="B1005" s="454"/>
      <c r="C1005" s="455"/>
      <c r="D1005" s="455"/>
      <c r="E1005" s="406" t="s">
        <v>1146</v>
      </c>
      <c r="F1005" s="456">
        <f>+F1006</f>
        <v>27017.5</v>
      </c>
      <c r="G1005" s="530">
        <f>+G1006</f>
        <v>27017.599999999999</v>
      </c>
      <c r="H1005" s="530">
        <f>+H1006</f>
        <v>27017.599999999999</v>
      </c>
      <c r="I1005" s="530">
        <f>+I1006</f>
        <v>27017.599999999999</v>
      </c>
      <c r="J1005" s="530">
        <f>+J1006</f>
        <v>27017.599999999999</v>
      </c>
    </row>
    <row r="1006" spans="1:10" s="461" customFormat="1" hidden="1">
      <c r="A1006" s="458"/>
      <c r="B1006" s="459"/>
      <c r="C1006" s="460"/>
      <c r="D1006" s="385">
        <v>4632</v>
      </c>
      <c r="E1006" s="446" t="s">
        <v>1158</v>
      </c>
      <c r="F1006" s="447">
        <v>27017.5</v>
      </c>
      <c r="G1006" s="529">
        <v>27017.599999999999</v>
      </c>
      <c r="H1006" s="529">
        <v>27017.599999999999</v>
      </c>
      <c r="I1006" s="529">
        <v>27017.599999999999</v>
      </c>
      <c r="J1006" s="529">
        <v>27017.599999999999</v>
      </c>
    </row>
    <row r="1007" spans="1:10" s="457" customFormat="1" hidden="1">
      <c r="A1007" s="453"/>
      <c r="B1007" s="454"/>
      <c r="C1007" s="455"/>
      <c r="D1007" s="455"/>
      <c r="E1007" s="406" t="s">
        <v>1147</v>
      </c>
      <c r="F1007" s="456">
        <f>+F1008</f>
        <v>40813.800000000003</v>
      </c>
      <c r="G1007" s="530">
        <f>+G1008</f>
        <v>42048.2</v>
      </c>
      <c r="H1007" s="530">
        <f>+H1008</f>
        <v>42048.2</v>
      </c>
      <c r="I1007" s="530">
        <f>+I1008</f>
        <v>42048.2</v>
      </c>
      <c r="J1007" s="530">
        <f>+J1008</f>
        <v>42048.2</v>
      </c>
    </row>
    <row r="1008" spans="1:10" s="461" customFormat="1" hidden="1">
      <c r="A1008" s="458"/>
      <c r="B1008" s="459"/>
      <c r="C1008" s="460"/>
      <c r="D1008" s="385">
        <v>4632</v>
      </c>
      <c r="E1008" s="446" t="s">
        <v>1158</v>
      </c>
      <c r="F1008" s="447">
        <v>40813.800000000003</v>
      </c>
      <c r="G1008" s="529">
        <v>42048.2</v>
      </c>
      <c r="H1008" s="529">
        <v>42048.2</v>
      </c>
      <c r="I1008" s="529">
        <v>42048.2</v>
      </c>
      <c r="J1008" s="529">
        <v>42048.2</v>
      </c>
    </row>
    <row r="1009" spans="1:10" hidden="1">
      <c r="A1009" s="359"/>
      <c r="B1009" s="373"/>
      <c r="C1009" s="371"/>
      <c r="D1009" s="421"/>
      <c r="E1009" s="406" t="s">
        <v>1148</v>
      </c>
      <c r="F1009" s="407">
        <f>+F1010</f>
        <v>19827.400000000001</v>
      </c>
      <c r="G1009" s="506">
        <f>+G1010</f>
        <v>19827.400000000001</v>
      </c>
      <c r="H1009" s="507">
        <f>+H1010</f>
        <v>19827.400000000001</v>
      </c>
      <c r="I1009" s="507">
        <f>+I1010</f>
        <v>19827.400000000001</v>
      </c>
      <c r="J1009" s="507">
        <f>+J1010</f>
        <v>19827.400000000001</v>
      </c>
    </row>
    <row r="1010" spans="1:10" s="461" customFormat="1" hidden="1">
      <c r="A1010" s="458"/>
      <c r="B1010" s="459"/>
      <c r="C1010" s="460"/>
      <c r="D1010" s="385">
        <v>4632</v>
      </c>
      <c r="E1010" s="446" t="s">
        <v>1158</v>
      </c>
      <c r="F1010" s="447">
        <v>19827.400000000001</v>
      </c>
      <c r="G1010" s="529">
        <v>19827.400000000001</v>
      </c>
      <c r="H1010" s="529">
        <v>19827.400000000001</v>
      </c>
      <c r="I1010" s="529">
        <v>19827.400000000001</v>
      </c>
      <c r="J1010" s="529">
        <v>19827.400000000001</v>
      </c>
    </row>
    <row r="1011" spans="1:10" hidden="1">
      <c r="A1011" s="359"/>
      <c r="B1011" s="373"/>
      <c r="C1011" s="371"/>
      <c r="D1011" s="421"/>
      <c r="E1011" s="406" t="s">
        <v>1149</v>
      </c>
      <c r="F1011" s="407">
        <f>+F1012</f>
        <v>8497.5</v>
      </c>
      <c r="G1011" s="506">
        <f>+G1012</f>
        <v>8497.5</v>
      </c>
      <c r="H1011" s="507">
        <f>+H1012</f>
        <v>8497.5</v>
      </c>
      <c r="I1011" s="507">
        <f>+I1012</f>
        <v>8497.5</v>
      </c>
      <c r="J1011" s="507">
        <f>+J1012</f>
        <v>8497.5</v>
      </c>
    </row>
    <row r="1012" spans="1:10" s="461" customFormat="1" hidden="1">
      <c r="A1012" s="458"/>
      <c r="B1012" s="459"/>
      <c r="C1012" s="460"/>
      <c r="D1012" s="385">
        <v>4632</v>
      </c>
      <c r="E1012" s="446" t="s">
        <v>1158</v>
      </c>
      <c r="F1012" s="447">
        <v>8497.5</v>
      </c>
      <c r="G1012" s="529">
        <v>8497.5</v>
      </c>
      <c r="H1012" s="529">
        <v>8497.5</v>
      </c>
      <c r="I1012" s="529">
        <v>8497.5</v>
      </c>
      <c r="J1012" s="529">
        <v>8497.5</v>
      </c>
    </row>
    <row r="1013" spans="1:10" hidden="1">
      <c r="A1013" s="359"/>
      <c r="B1013" s="373"/>
      <c r="C1013" s="371"/>
      <c r="D1013" s="421"/>
      <c r="E1013" s="406" t="s">
        <v>1150</v>
      </c>
      <c r="F1013" s="407">
        <f>+F1014</f>
        <v>23095.7</v>
      </c>
      <c r="G1013" s="506">
        <f>+G1014</f>
        <v>23095.7</v>
      </c>
      <c r="H1013" s="507">
        <f>+H1014</f>
        <v>23095.7</v>
      </c>
      <c r="I1013" s="507">
        <f>+I1014</f>
        <v>23095.7</v>
      </c>
      <c r="J1013" s="507">
        <f>+J1014</f>
        <v>23095.7</v>
      </c>
    </row>
    <row r="1014" spans="1:10" s="461" customFormat="1" hidden="1">
      <c r="A1014" s="458"/>
      <c r="B1014" s="459"/>
      <c r="C1014" s="460"/>
      <c r="D1014" s="385">
        <v>4632</v>
      </c>
      <c r="E1014" s="446" t="s">
        <v>1158</v>
      </c>
      <c r="F1014" s="447">
        <v>23095.7</v>
      </c>
      <c r="G1014" s="529">
        <v>23095.7</v>
      </c>
      <c r="H1014" s="529">
        <v>23095.7</v>
      </c>
      <c r="I1014" s="529">
        <v>23095.7</v>
      </c>
      <c r="J1014" s="529">
        <v>23095.7</v>
      </c>
    </row>
    <row r="1015" spans="1:10">
      <c r="A1015" s="359"/>
      <c r="B1015" s="378">
        <v>1198</v>
      </c>
      <c r="C1015" s="371">
        <v>11006</v>
      </c>
      <c r="D1015" s="371"/>
      <c r="E1015" s="380" t="s">
        <v>670</v>
      </c>
      <c r="F1015" s="381">
        <f>+F1016</f>
        <v>0</v>
      </c>
      <c r="G1015" s="498">
        <f>+G1016</f>
        <v>70611.100000000006</v>
      </c>
      <c r="H1015" s="500">
        <f>+H1016</f>
        <v>70611.100000000006</v>
      </c>
      <c r="I1015" s="500">
        <f>+I1016</f>
        <v>70611.100000000006</v>
      </c>
      <c r="J1015" s="500">
        <f>+J1016</f>
        <v>70611.100000000006</v>
      </c>
    </row>
    <row r="1016" spans="1:10" ht="38.25">
      <c r="A1016" s="359"/>
      <c r="B1016" s="378"/>
      <c r="C1016" s="371"/>
      <c r="D1016" s="385">
        <v>4637</v>
      </c>
      <c r="E1016" s="446" t="s">
        <v>1121</v>
      </c>
      <c r="F1016" s="447">
        <v>0</v>
      </c>
      <c r="G1016" s="529">
        <v>70611.100000000006</v>
      </c>
      <c r="H1016" s="529">
        <v>70611.100000000006</v>
      </c>
      <c r="I1016" s="529">
        <v>70611.100000000006</v>
      </c>
      <c r="J1016" s="529">
        <v>70611.100000000006</v>
      </c>
    </row>
    <row r="1017" spans="1:10">
      <c r="A1017" s="359"/>
      <c r="B1017" s="378">
        <v>1198</v>
      </c>
      <c r="C1017" s="371">
        <v>11007</v>
      </c>
      <c r="D1017" s="371"/>
      <c r="E1017" s="380" t="s">
        <v>671</v>
      </c>
      <c r="F1017" s="381">
        <f>+F1018</f>
        <v>0</v>
      </c>
      <c r="G1017" s="498">
        <f>+G1018</f>
        <v>32795</v>
      </c>
      <c r="H1017" s="500">
        <f>+H1018</f>
        <v>32795</v>
      </c>
      <c r="I1017" s="500">
        <f>+I1018</f>
        <v>32795</v>
      </c>
      <c r="J1017" s="500">
        <f>+J1018</f>
        <v>32795</v>
      </c>
    </row>
    <row r="1018" spans="1:10" ht="38.25">
      <c r="A1018" s="359"/>
      <c r="B1018" s="378"/>
      <c r="C1018" s="371"/>
      <c r="D1018" s="385">
        <v>4637</v>
      </c>
      <c r="E1018" s="446" t="s">
        <v>1121</v>
      </c>
      <c r="F1018" s="447">
        <v>0</v>
      </c>
      <c r="G1018" s="529">
        <v>32795</v>
      </c>
      <c r="H1018" s="529">
        <v>32795</v>
      </c>
      <c r="I1018" s="529">
        <v>32795</v>
      </c>
      <c r="J1018" s="529">
        <v>32795</v>
      </c>
    </row>
    <row r="1019" spans="1:10" ht="25.5">
      <c r="A1019" s="359"/>
      <c r="B1019" s="378">
        <v>1198</v>
      </c>
      <c r="C1019" s="371">
        <v>11008</v>
      </c>
      <c r="D1019" s="371"/>
      <c r="E1019" s="380" t="s">
        <v>672</v>
      </c>
      <c r="F1019" s="381">
        <f>+F1020+F1021</f>
        <v>0</v>
      </c>
      <c r="G1019" s="498">
        <f>+G1020+G1021</f>
        <v>138365</v>
      </c>
      <c r="H1019" s="498">
        <f>+H1020+H1021</f>
        <v>134365</v>
      </c>
      <c r="I1019" s="498">
        <f>+I1020+I1021</f>
        <v>134365</v>
      </c>
      <c r="J1019" s="498">
        <f>+J1020+J1021</f>
        <v>134365</v>
      </c>
    </row>
    <row r="1020" spans="1:10" ht="38.25">
      <c r="A1020" s="359"/>
      <c r="B1020" s="378"/>
      <c r="C1020" s="371"/>
      <c r="D1020" s="385">
        <v>4637</v>
      </c>
      <c r="E1020" s="446" t="s">
        <v>1121</v>
      </c>
      <c r="F1020" s="447">
        <v>0</v>
      </c>
      <c r="G1020" s="529">
        <v>68500</v>
      </c>
      <c r="H1020" s="529">
        <v>64500</v>
      </c>
      <c r="I1020" s="529">
        <v>64500</v>
      </c>
      <c r="J1020" s="529">
        <v>64500</v>
      </c>
    </row>
    <row r="1021" spans="1:10">
      <c r="A1021" s="359"/>
      <c r="B1021" s="378"/>
      <c r="C1021" s="371"/>
      <c r="D1021" s="385">
        <v>4639</v>
      </c>
      <c r="E1021" s="385" t="s">
        <v>1119</v>
      </c>
      <c r="F1021" s="447">
        <v>0</v>
      </c>
      <c r="G1021" s="529">
        <v>69865</v>
      </c>
      <c r="H1021" s="529">
        <v>69865</v>
      </c>
      <c r="I1021" s="529">
        <v>69865</v>
      </c>
      <c r="J1021" s="529">
        <v>69865</v>
      </c>
    </row>
    <row r="1022" spans="1:10" ht="25.5">
      <c r="A1022" s="359"/>
      <c r="B1022" s="378">
        <v>1198</v>
      </c>
      <c r="C1022" s="371">
        <v>11009</v>
      </c>
      <c r="D1022" s="371"/>
      <c r="E1022" s="380" t="s">
        <v>673</v>
      </c>
      <c r="F1022" s="381">
        <f>+F1023</f>
        <v>0</v>
      </c>
      <c r="G1022" s="498">
        <f>+G1023</f>
        <v>240000</v>
      </c>
      <c r="H1022" s="500">
        <f>+H1023</f>
        <v>449200.8</v>
      </c>
      <c r="I1022" s="500">
        <f>+I1023</f>
        <v>449200.8</v>
      </c>
      <c r="J1022" s="500">
        <f>+J1023</f>
        <v>449200.8</v>
      </c>
    </row>
    <row r="1023" spans="1:10" ht="38.25">
      <c r="A1023" s="359"/>
      <c r="B1023" s="378"/>
      <c r="C1023" s="371"/>
      <c r="D1023" s="385">
        <v>4637</v>
      </c>
      <c r="E1023" s="446" t="s">
        <v>1121</v>
      </c>
      <c r="F1023" s="447">
        <v>0</v>
      </c>
      <c r="G1023" s="529">
        <v>240000</v>
      </c>
      <c r="H1023" s="529">
        <v>449200.8</v>
      </c>
      <c r="I1023" s="529">
        <v>449200.8</v>
      </c>
      <c r="J1023" s="529">
        <v>449200.8</v>
      </c>
    </row>
    <row r="1024" spans="1:10" s="405" customFormat="1">
      <c r="A1024" s="574">
        <v>20</v>
      </c>
      <c r="B1024" s="555">
        <v>1215</v>
      </c>
      <c r="C1024" s="605" t="s">
        <v>674</v>
      </c>
      <c r="D1024" s="620"/>
      <c r="E1024" s="607"/>
      <c r="F1024" s="376">
        <f>SUM(F1025,F1027,F1029,F1031,F1033,F1035,F1036,F1038,F1040,F1042,F1044,F1047)</f>
        <v>366554.42000000004</v>
      </c>
      <c r="G1024" s="497">
        <f>SUM(G1025,G1027,G1029,G1031,G1033,G1035,G1036,G1038,G1040,G1042,G1044,G1047+G1049+G1051+G1053+G1055)</f>
        <v>403115.1</v>
      </c>
      <c r="H1024" s="497">
        <f t="shared" ref="H1024:J1024" si="139">SUM(H1025,H1027,H1029,H1031,H1033,H1035,H1036,H1038,H1040,H1042,H1044,H1047+H1049+H1051+H1053+H1055)</f>
        <v>872107.5</v>
      </c>
      <c r="I1024" s="497">
        <f t="shared" si="139"/>
        <v>1167482.5</v>
      </c>
      <c r="J1024" s="497">
        <f t="shared" si="139"/>
        <v>1076757.5</v>
      </c>
    </row>
    <row r="1025" spans="1:10" ht="25.5">
      <c r="A1025" s="359"/>
      <c r="B1025" s="373">
        <v>1215</v>
      </c>
      <c r="C1025" s="371">
        <v>11001</v>
      </c>
      <c r="D1025" s="421"/>
      <c r="E1025" s="380" t="s">
        <v>675</v>
      </c>
      <c r="F1025" s="388">
        <f>+F1026</f>
        <v>0</v>
      </c>
      <c r="G1025" s="500">
        <f>+G1026</f>
        <v>28900</v>
      </c>
      <c r="H1025" s="500">
        <f>+H1026</f>
        <v>0</v>
      </c>
      <c r="I1025" s="500">
        <f>+I1026</f>
        <v>33000</v>
      </c>
      <c r="J1025" s="500">
        <f t="shared" ref="J1025" si="140">+J1026</f>
        <v>0</v>
      </c>
    </row>
    <row r="1026" spans="1:10" s="387" customFormat="1">
      <c r="A1026" s="382"/>
      <c r="B1026" s="396"/>
      <c r="C1026" s="384"/>
      <c r="D1026" s="385">
        <v>4639</v>
      </c>
      <c r="E1026" s="385" t="s">
        <v>1119</v>
      </c>
      <c r="F1026" s="389">
        <v>0</v>
      </c>
      <c r="G1026" s="501">
        <v>28900</v>
      </c>
      <c r="H1026" s="501">
        <v>0</v>
      </c>
      <c r="I1026" s="501">
        <v>33000</v>
      </c>
      <c r="J1026" s="501">
        <v>0</v>
      </c>
    </row>
    <row r="1027" spans="1:10" ht="25.5">
      <c r="A1027" s="359"/>
      <c r="B1027" s="373">
        <v>1215</v>
      </c>
      <c r="C1027" s="371">
        <v>11002</v>
      </c>
      <c r="D1027" s="421"/>
      <c r="E1027" s="380" t="s">
        <v>677</v>
      </c>
      <c r="F1027" s="388">
        <f>+F1028</f>
        <v>31700</v>
      </c>
      <c r="G1027" s="500">
        <f>+G1028</f>
        <v>39500</v>
      </c>
      <c r="H1027" s="500">
        <f>+H1028</f>
        <v>49375</v>
      </c>
      <c r="I1027" s="500">
        <f>+I1028</f>
        <v>59250</v>
      </c>
      <c r="J1027" s="500">
        <f>+J1028</f>
        <v>69125</v>
      </c>
    </row>
    <row r="1028" spans="1:10">
      <c r="A1028" s="359"/>
      <c r="B1028" s="373"/>
      <c r="C1028" s="384"/>
      <c r="D1028" s="385">
        <v>4200</v>
      </c>
      <c r="E1028" s="385" t="s">
        <v>1137</v>
      </c>
      <c r="F1028" s="389">
        <v>31700</v>
      </c>
      <c r="G1028" s="501">
        <v>39500</v>
      </c>
      <c r="H1028" s="501">
        <v>49375</v>
      </c>
      <c r="I1028" s="501">
        <v>59250</v>
      </c>
      <c r="J1028" s="501">
        <v>69125</v>
      </c>
    </row>
    <row r="1029" spans="1:10" ht="51">
      <c r="A1029" s="359"/>
      <c r="B1029" s="373">
        <v>1215</v>
      </c>
      <c r="C1029" s="371">
        <v>11003</v>
      </c>
      <c r="D1029" s="421"/>
      <c r="E1029" s="380" t="s">
        <v>679</v>
      </c>
      <c r="F1029" s="388">
        <f>+F1030</f>
        <v>52783.450000000004</v>
      </c>
      <c r="G1029" s="500">
        <f>+G1030</f>
        <v>30000</v>
      </c>
      <c r="H1029" s="500">
        <f>+H1030</f>
        <v>118500</v>
      </c>
      <c r="I1029" s="500">
        <f>+I1030</f>
        <v>118500</v>
      </c>
      <c r="J1029" s="500">
        <f>+J1030</f>
        <v>118500</v>
      </c>
    </row>
    <row r="1030" spans="1:10">
      <c r="A1030" s="359"/>
      <c r="B1030" s="373"/>
      <c r="C1030" s="384"/>
      <c r="D1030" s="385">
        <v>4200</v>
      </c>
      <c r="E1030" s="385" t="s">
        <v>1137</v>
      </c>
      <c r="F1030" s="389">
        <v>52783.450000000004</v>
      </c>
      <c r="G1030" s="501">
        <v>30000</v>
      </c>
      <c r="H1030" s="501">
        <v>118500</v>
      </c>
      <c r="I1030" s="501">
        <v>118500</v>
      </c>
      <c r="J1030" s="501">
        <v>118500</v>
      </c>
    </row>
    <row r="1031" spans="1:10" ht="38.25">
      <c r="A1031" s="359"/>
      <c r="B1031" s="373">
        <v>1215</v>
      </c>
      <c r="C1031" s="371">
        <v>11005</v>
      </c>
      <c r="D1031" s="421"/>
      <c r="E1031" s="380" t="s">
        <v>681</v>
      </c>
      <c r="F1031" s="388">
        <f>+F1032</f>
        <v>0</v>
      </c>
      <c r="G1031" s="500">
        <f>+G1032</f>
        <v>25000</v>
      </c>
      <c r="H1031" s="500">
        <f>+H1032</f>
        <v>0</v>
      </c>
      <c r="I1031" s="500">
        <f>+I1032</f>
        <v>0</v>
      </c>
      <c r="J1031" s="500">
        <f>+J1032</f>
        <v>0</v>
      </c>
    </row>
    <row r="1032" spans="1:10">
      <c r="A1032" s="359"/>
      <c r="B1032" s="373"/>
      <c r="C1032" s="384"/>
      <c r="D1032" s="385">
        <v>4639</v>
      </c>
      <c r="E1032" s="385" t="s">
        <v>1119</v>
      </c>
      <c r="F1032" s="389">
        <v>0</v>
      </c>
      <c r="G1032" s="501">
        <v>25000</v>
      </c>
      <c r="H1032" s="501">
        <v>0</v>
      </c>
      <c r="I1032" s="501">
        <v>0</v>
      </c>
      <c r="J1032" s="501">
        <v>0</v>
      </c>
    </row>
    <row r="1033" spans="1:10" ht="25.5">
      <c r="A1033" s="359"/>
      <c r="B1033" s="373">
        <v>1215</v>
      </c>
      <c r="C1033" s="371">
        <v>12001</v>
      </c>
      <c r="D1033" s="421"/>
      <c r="E1033" s="380" t="s">
        <v>682</v>
      </c>
      <c r="F1033" s="388">
        <f>+F1034</f>
        <v>134634</v>
      </c>
      <c r="G1033" s="500">
        <f>+G1034</f>
        <v>141720</v>
      </c>
      <c r="H1033" s="500">
        <f>+H1034</f>
        <v>171800</v>
      </c>
      <c r="I1033" s="500">
        <f>+I1034</f>
        <v>198600</v>
      </c>
      <c r="J1033" s="500">
        <f>+J1034</f>
        <v>220000</v>
      </c>
    </row>
    <row r="1034" spans="1:10">
      <c r="A1034" s="359"/>
      <c r="B1034" s="373"/>
      <c r="C1034" s="384"/>
      <c r="D1034" s="385">
        <v>4639</v>
      </c>
      <c r="E1034" s="385" t="s">
        <v>1119</v>
      </c>
      <c r="F1034" s="389">
        <v>134634</v>
      </c>
      <c r="G1034" s="501">
        <v>141720</v>
      </c>
      <c r="H1034" s="501">
        <v>171800</v>
      </c>
      <c r="I1034" s="501">
        <v>198600</v>
      </c>
      <c r="J1034" s="501">
        <v>220000</v>
      </c>
    </row>
    <row r="1035" spans="1:10" s="394" customFormat="1" ht="51" outlineLevel="1">
      <c r="A1035" s="408"/>
      <c r="B1035" s="373">
        <v>1215</v>
      </c>
      <c r="C1035" s="421">
        <v>12002</v>
      </c>
      <c r="D1035" s="421"/>
      <c r="E1035" s="393" t="s">
        <v>684</v>
      </c>
      <c r="F1035" s="388">
        <v>4000</v>
      </c>
      <c r="G1035" s="500">
        <v>0</v>
      </c>
      <c r="H1035" s="500">
        <v>0</v>
      </c>
      <c r="I1035" s="500">
        <v>0</v>
      </c>
      <c r="J1035" s="500">
        <v>0</v>
      </c>
    </row>
    <row r="1036" spans="1:10" ht="25.5">
      <c r="A1036" s="359"/>
      <c r="B1036" s="373">
        <v>1215</v>
      </c>
      <c r="C1036" s="371">
        <v>12003</v>
      </c>
      <c r="D1036" s="421"/>
      <c r="E1036" s="380" t="s">
        <v>685</v>
      </c>
      <c r="F1036" s="388">
        <f>+F1037</f>
        <v>0</v>
      </c>
      <c r="G1036" s="500">
        <f>+G1037</f>
        <v>7062.6</v>
      </c>
      <c r="H1036" s="500">
        <f>+H1037</f>
        <v>30000</v>
      </c>
      <c r="I1036" s="500">
        <f>+I1037</f>
        <v>45000</v>
      </c>
      <c r="J1036" s="500">
        <f>+J1037</f>
        <v>60000</v>
      </c>
    </row>
    <row r="1037" spans="1:10">
      <c r="A1037" s="359"/>
      <c r="B1037" s="373"/>
      <c r="C1037" s="384"/>
      <c r="D1037" s="385">
        <v>4639</v>
      </c>
      <c r="E1037" s="385" t="s">
        <v>1119</v>
      </c>
      <c r="F1037" s="389">
        <v>0</v>
      </c>
      <c r="G1037" s="501">
        <v>7062.6</v>
      </c>
      <c r="H1037" s="501">
        <v>30000</v>
      </c>
      <c r="I1037" s="501">
        <v>45000</v>
      </c>
      <c r="J1037" s="501">
        <v>60000</v>
      </c>
    </row>
    <row r="1038" spans="1:10" ht="51">
      <c r="A1038" s="359"/>
      <c r="B1038" s="373">
        <v>1215</v>
      </c>
      <c r="C1038" s="371">
        <v>12004</v>
      </c>
      <c r="D1038" s="421"/>
      <c r="E1038" s="380" t="s">
        <v>687</v>
      </c>
      <c r="F1038" s="388">
        <f>+F1039</f>
        <v>4550</v>
      </c>
      <c r="G1038" s="500">
        <f>+G1039</f>
        <v>4560</v>
      </c>
      <c r="H1038" s="500">
        <f>+H1039</f>
        <v>4560</v>
      </c>
      <c r="I1038" s="500">
        <f>+I1039</f>
        <v>4560</v>
      </c>
      <c r="J1038" s="500">
        <f>+J1039</f>
        <v>4560</v>
      </c>
    </row>
    <row r="1039" spans="1:10">
      <c r="A1039" s="359"/>
      <c r="B1039" s="373"/>
      <c r="C1039" s="384"/>
      <c r="D1039" s="385">
        <v>4639</v>
      </c>
      <c r="E1039" s="385" t="s">
        <v>1119</v>
      </c>
      <c r="F1039" s="389">
        <v>4550</v>
      </c>
      <c r="G1039" s="501">
        <v>4560</v>
      </c>
      <c r="H1039" s="501">
        <v>4560</v>
      </c>
      <c r="I1039" s="501">
        <v>4560</v>
      </c>
      <c r="J1039" s="501">
        <v>4560</v>
      </c>
    </row>
    <row r="1040" spans="1:10" ht="25.5">
      <c r="A1040" s="359"/>
      <c r="B1040" s="373">
        <v>1215</v>
      </c>
      <c r="C1040" s="371">
        <v>12005</v>
      </c>
      <c r="D1040" s="421"/>
      <c r="E1040" s="380" t="s">
        <v>689</v>
      </c>
      <c r="F1040" s="388">
        <f>+F1041</f>
        <v>117861.57</v>
      </c>
      <c r="G1040" s="500">
        <f>+G1041</f>
        <v>104372.5</v>
      </c>
      <c r="H1040" s="500">
        <f>+H1041</f>
        <v>104372.5</v>
      </c>
      <c r="I1040" s="500">
        <f>+I1041</f>
        <v>104372.5</v>
      </c>
      <c r="J1040" s="500">
        <f>+J1041</f>
        <v>104372.5</v>
      </c>
    </row>
    <row r="1041" spans="1:10" ht="25.5">
      <c r="A1041" s="359"/>
      <c r="B1041" s="373"/>
      <c r="C1041" s="384"/>
      <c r="D1041" s="385">
        <v>4621</v>
      </c>
      <c r="E1041" s="385" t="s">
        <v>1166</v>
      </c>
      <c r="F1041" s="389">
        <v>117861.57</v>
      </c>
      <c r="G1041" s="501">
        <v>104372.5</v>
      </c>
      <c r="H1041" s="501">
        <v>104372.5</v>
      </c>
      <c r="I1041" s="501">
        <v>104372.5</v>
      </c>
      <c r="J1041" s="501">
        <v>104372.5</v>
      </c>
    </row>
    <row r="1042" spans="1:10" ht="25.5">
      <c r="A1042" s="359"/>
      <c r="B1042" s="373">
        <v>1215</v>
      </c>
      <c r="C1042" s="371">
        <v>12006</v>
      </c>
      <c r="D1042" s="421"/>
      <c r="E1042" s="380" t="s">
        <v>691</v>
      </c>
      <c r="F1042" s="388">
        <f>+F1043</f>
        <v>17025.400000000001</v>
      </c>
      <c r="G1042" s="500">
        <f>+G1043</f>
        <v>18000</v>
      </c>
      <c r="H1042" s="500">
        <f>+H1043</f>
        <v>18000</v>
      </c>
      <c r="I1042" s="500">
        <f>+I1043</f>
        <v>18000</v>
      </c>
      <c r="J1042" s="500">
        <f>+J1043</f>
        <v>18000</v>
      </c>
    </row>
    <row r="1043" spans="1:10" ht="38.25">
      <c r="A1043" s="359"/>
      <c r="B1043" s="373"/>
      <c r="C1043" s="384"/>
      <c r="D1043" s="385">
        <v>4637</v>
      </c>
      <c r="E1043" s="446" t="s">
        <v>1121</v>
      </c>
      <c r="F1043" s="389">
        <v>17025.400000000001</v>
      </c>
      <c r="G1043" s="501">
        <v>18000</v>
      </c>
      <c r="H1043" s="501">
        <v>18000</v>
      </c>
      <c r="I1043" s="501">
        <v>18000</v>
      </c>
      <c r="J1043" s="501">
        <v>18000</v>
      </c>
    </row>
    <row r="1044" spans="1:10" ht="25.5">
      <c r="A1044" s="359"/>
      <c r="B1044" s="373">
        <v>1215</v>
      </c>
      <c r="C1044" s="371">
        <v>12007</v>
      </c>
      <c r="D1044" s="421"/>
      <c r="E1044" s="380" t="s">
        <v>692</v>
      </c>
      <c r="F1044" s="388">
        <f t="shared" ref="F1044:J1045" si="141">+F1045</f>
        <v>4000</v>
      </c>
      <c r="G1044" s="500">
        <f t="shared" si="141"/>
        <v>4000</v>
      </c>
      <c r="H1044" s="500">
        <f t="shared" si="141"/>
        <v>4000</v>
      </c>
      <c r="I1044" s="500">
        <f t="shared" si="141"/>
        <v>4000</v>
      </c>
      <c r="J1044" s="500">
        <f t="shared" si="141"/>
        <v>4000</v>
      </c>
    </row>
    <row r="1045" spans="1:10">
      <c r="A1045" s="359"/>
      <c r="B1045" s="373"/>
      <c r="C1045" s="384"/>
      <c r="D1045" s="421"/>
      <c r="E1045" s="406" t="s">
        <v>1167</v>
      </c>
      <c r="F1045" s="462">
        <f t="shared" si="141"/>
        <v>4000</v>
      </c>
      <c r="G1045" s="532">
        <f t="shared" si="141"/>
        <v>4000</v>
      </c>
      <c r="H1045" s="532">
        <f t="shared" si="141"/>
        <v>4000</v>
      </c>
      <c r="I1045" s="532">
        <f t="shared" si="141"/>
        <v>4000</v>
      </c>
      <c r="J1045" s="532">
        <f t="shared" si="141"/>
        <v>4000</v>
      </c>
    </row>
    <row r="1046" spans="1:10">
      <c r="A1046" s="359"/>
      <c r="B1046" s="373"/>
      <c r="C1046" s="371"/>
      <c r="D1046" s="385">
        <v>4639</v>
      </c>
      <c r="E1046" s="385" t="s">
        <v>1119</v>
      </c>
      <c r="F1046" s="389">
        <v>4000</v>
      </c>
      <c r="G1046" s="501">
        <v>4000</v>
      </c>
      <c r="H1046" s="501">
        <v>4000</v>
      </c>
      <c r="I1046" s="501">
        <v>4000</v>
      </c>
      <c r="J1046" s="501">
        <v>4000</v>
      </c>
    </row>
    <row r="1047" spans="1:10" ht="38.25">
      <c r="A1047" s="408"/>
      <c r="B1047" s="373">
        <v>1215</v>
      </c>
      <c r="C1047" s="569" t="s">
        <v>413</v>
      </c>
      <c r="D1047" s="421"/>
      <c r="E1047" s="393" t="s">
        <v>1190</v>
      </c>
      <c r="F1047" s="388">
        <f>+F1048</f>
        <v>0</v>
      </c>
      <c r="G1047" s="500">
        <f>+G1048</f>
        <v>0</v>
      </c>
      <c r="H1047" s="500">
        <f>+H1048</f>
        <v>350000</v>
      </c>
      <c r="I1047" s="500">
        <f>+I1048</f>
        <v>420000</v>
      </c>
      <c r="J1047" s="500">
        <f>+J1048</f>
        <v>466000</v>
      </c>
    </row>
    <row r="1048" spans="1:10">
      <c r="A1048" s="359"/>
      <c r="B1048" s="373"/>
      <c r="C1048" s="384"/>
      <c r="D1048" s="385">
        <v>4639</v>
      </c>
      <c r="E1048" s="385" t="s">
        <v>1119</v>
      </c>
      <c r="F1048" s="389">
        <v>0</v>
      </c>
      <c r="G1048" s="501">
        <v>0</v>
      </c>
      <c r="H1048" s="501">
        <v>350000</v>
      </c>
      <c r="I1048" s="501">
        <v>420000</v>
      </c>
      <c r="J1048" s="501">
        <v>466000</v>
      </c>
    </row>
    <row r="1049" spans="1:10" s="394" customFormat="1" ht="38.25" outlineLevel="1">
      <c r="A1049" s="408"/>
      <c r="B1049" s="373">
        <v>1215</v>
      </c>
      <c r="C1049" s="569" t="s">
        <v>413</v>
      </c>
      <c r="D1049" s="421"/>
      <c r="E1049" s="393" t="s">
        <v>694</v>
      </c>
      <c r="F1049" s="388">
        <v>0</v>
      </c>
      <c r="G1049" s="500">
        <v>0</v>
      </c>
      <c r="H1049" s="500">
        <v>0</v>
      </c>
      <c r="I1049" s="500">
        <v>150000</v>
      </c>
      <c r="J1049" s="500">
        <v>0</v>
      </c>
    </row>
    <row r="1050" spans="1:10" s="394" customFormat="1" outlineLevel="1">
      <c r="A1050" s="408"/>
      <c r="B1050" s="373"/>
      <c r="C1050" s="421"/>
      <c r="D1050" s="421"/>
      <c r="E1050" s="393"/>
      <c r="F1050" s="389">
        <v>0</v>
      </c>
      <c r="G1050" s="501">
        <v>0</v>
      </c>
      <c r="H1050" s="501">
        <v>0</v>
      </c>
      <c r="I1050" s="501">
        <v>150000</v>
      </c>
      <c r="J1050" s="500"/>
    </row>
    <row r="1051" spans="1:10" s="394" customFormat="1" ht="25.5" outlineLevel="1">
      <c r="A1051" s="408"/>
      <c r="B1051" s="373">
        <v>1215</v>
      </c>
      <c r="C1051" s="569" t="s">
        <v>413</v>
      </c>
      <c r="D1051" s="421"/>
      <c r="E1051" s="393" t="s">
        <v>695</v>
      </c>
      <c r="F1051" s="388">
        <v>0</v>
      </c>
      <c r="G1051" s="500">
        <v>0</v>
      </c>
      <c r="H1051" s="500">
        <f>+H1052</f>
        <v>8500</v>
      </c>
      <c r="I1051" s="500">
        <f t="shared" ref="I1051:J1051" si="142">+I1052</f>
        <v>3600</v>
      </c>
      <c r="J1051" s="500">
        <f t="shared" si="142"/>
        <v>3600</v>
      </c>
    </row>
    <row r="1052" spans="1:10" s="394" customFormat="1" outlineLevel="1">
      <c r="A1052" s="408"/>
      <c r="B1052" s="373"/>
      <c r="C1052" s="421"/>
      <c r="D1052" s="421"/>
      <c r="E1052" s="393"/>
      <c r="F1052" s="389">
        <v>0</v>
      </c>
      <c r="G1052" s="501">
        <v>0</v>
      </c>
      <c r="H1052" s="501">
        <v>8500</v>
      </c>
      <c r="I1052" s="501">
        <v>3600</v>
      </c>
      <c r="J1052" s="501">
        <v>3600</v>
      </c>
    </row>
    <row r="1053" spans="1:10" s="394" customFormat="1" ht="25.5" outlineLevel="1">
      <c r="A1053" s="408"/>
      <c r="B1053" s="373">
        <v>1215</v>
      </c>
      <c r="C1053" s="569" t="s">
        <v>413</v>
      </c>
      <c r="D1053" s="421"/>
      <c r="E1053" s="393" t="s">
        <v>1221</v>
      </c>
      <c r="F1053" s="388">
        <f>+F1054</f>
        <v>0</v>
      </c>
      <c r="G1053" s="500">
        <f>+G1054</f>
        <v>0</v>
      </c>
      <c r="H1053" s="500">
        <f>+H1054</f>
        <v>5000</v>
      </c>
      <c r="I1053" s="500">
        <f>+I1054</f>
        <v>5000</v>
      </c>
      <c r="J1053" s="500">
        <f>+J1054</f>
        <v>5000</v>
      </c>
    </row>
    <row r="1054" spans="1:10" s="394" customFormat="1" outlineLevel="1">
      <c r="A1054" s="408"/>
      <c r="B1054" s="373"/>
      <c r="C1054" s="421"/>
      <c r="D1054" s="421"/>
      <c r="E1054" s="393"/>
      <c r="F1054" s="389">
        <v>0</v>
      </c>
      <c r="G1054" s="501">
        <v>0</v>
      </c>
      <c r="H1054" s="501">
        <v>5000</v>
      </c>
      <c r="I1054" s="501">
        <v>5000</v>
      </c>
      <c r="J1054" s="501">
        <v>5000</v>
      </c>
    </row>
    <row r="1055" spans="1:10" s="394" customFormat="1" ht="63.75" outlineLevel="1">
      <c r="A1055" s="408"/>
      <c r="B1055" s="373">
        <v>1215</v>
      </c>
      <c r="C1055" s="569" t="s">
        <v>413</v>
      </c>
      <c r="D1055" s="421"/>
      <c r="E1055" s="393" t="s">
        <v>697</v>
      </c>
      <c r="F1055" s="388">
        <f>+F1056</f>
        <v>0</v>
      </c>
      <c r="G1055" s="500">
        <f>+G1056</f>
        <v>0</v>
      </c>
      <c r="H1055" s="500">
        <f>+H1056</f>
        <v>8000</v>
      </c>
      <c r="I1055" s="500">
        <f>+I1056</f>
        <v>3600</v>
      </c>
      <c r="J1055" s="500">
        <f>+J1056</f>
        <v>3600</v>
      </c>
    </row>
    <row r="1056" spans="1:10" s="394" customFormat="1" outlineLevel="1">
      <c r="A1056" s="408"/>
      <c r="B1056" s="373"/>
      <c r="C1056" s="421"/>
      <c r="D1056" s="421"/>
      <c r="E1056" s="393"/>
      <c r="F1056" s="389">
        <v>0</v>
      </c>
      <c r="G1056" s="501">
        <v>0</v>
      </c>
      <c r="H1056" s="501">
        <v>8000</v>
      </c>
      <c r="I1056" s="501">
        <v>3600</v>
      </c>
      <c r="J1056" s="501">
        <v>3600</v>
      </c>
    </row>
    <row r="1057" spans="1:11" s="543" customFormat="1">
      <c r="A1057" s="574">
        <v>21</v>
      </c>
      <c r="B1057" s="555">
        <v>1227</v>
      </c>
      <c r="C1057" s="609" t="s">
        <v>698</v>
      </c>
      <c r="D1057" s="619"/>
      <c r="E1057" s="611"/>
      <c r="F1057" s="376">
        <f>SUM(F1058,F1060,F1062)</f>
        <v>592001.60000000009</v>
      </c>
      <c r="G1057" s="497">
        <f>SUM(G1058,G1060,G1062,G1064)</f>
        <v>736296.1</v>
      </c>
      <c r="H1057" s="497">
        <f t="shared" ref="H1057:J1057" si="143">SUM(H1058,H1060,H1062,H1064)</f>
        <v>886511.23</v>
      </c>
      <c r="I1057" s="497">
        <f t="shared" si="143"/>
        <v>935237.8</v>
      </c>
      <c r="J1057" s="497">
        <f t="shared" si="143"/>
        <v>995237.8</v>
      </c>
    </row>
    <row r="1058" spans="1:11">
      <c r="A1058" s="359"/>
      <c r="B1058" s="373">
        <v>1227</v>
      </c>
      <c r="C1058" s="371">
        <v>11001</v>
      </c>
      <c r="D1058" s="421"/>
      <c r="E1058" s="380" t="s">
        <v>699</v>
      </c>
      <c r="F1058" s="388">
        <f>+F1059</f>
        <v>218934.30000000002</v>
      </c>
      <c r="G1058" s="500">
        <f>+G1059</f>
        <v>331581.8</v>
      </c>
      <c r="H1058" s="500">
        <f>+H1059</f>
        <v>391581.8</v>
      </c>
      <c r="I1058" s="500">
        <f>+I1059</f>
        <v>451581.8</v>
      </c>
      <c r="J1058" s="500">
        <f>+J1059</f>
        <v>511581.8</v>
      </c>
    </row>
    <row r="1059" spans="1:11" ht="38.25">
      <c r="A1059" s="359"/>
      <c r="B1059" s="373"/>
      <c r="C1059" s="384"/>
      <c r="D1059" s="385">
        <v>4637</v>
      </c>
      <c r="E1059" s="446" t="s">
        <v>1121</v>
      </c>
      <c r="F1059" s="398">
        <v>218934.30000000002</v>
      </c>
      <c r="G1059" s="501">
        <v>331581.8</v>
      </c>
      <c r="H1059" s="501">
        <v>391581.8</v>
      </c>
      <c r="I1059" s="501">
        <v>451581.8</v>
      </c>
      <c r="J1059" s="501">
        <v>511581.8</v>
      </c>
    </row>
    <row r="1060" spans="1:11">
      <c r="A1060" s="359"/>
      <c r="B1060" s="373">
        <v>1227</v>
      </c>
      <c r="C1060" s="371">
        <v>11002</v>
      </c>
      <c r="D1060" s="421"/>
      <c r="E1060" s="380" t="s">
        <v>701</v>
      </c>
      <c r="F1060" s="388">
        <f>+F1061</f>
        <v>231467.30000000002</v>
      </c>
      <c r="G1060" s="500">
        <f>+G1061</f>
        <v>263114.3</v>
      </c>
      <c r="H1060" s="500">
        <f>+H1061</f>
        <v>280075.43</v>
      </c>
      <c r="I1060" s="500">
        <f>+I1061</f>
        <v>308083</v>
      </c>
      <c r="J1060" s="500">
        <f>+J1061</f>
        <v>308083</v>
      </c>
    </row>
    <row r="1061" spans="1:11" ht="38.25">
      <c r="A1061" s="359"/>
      <c r="B1061" s="373"/>
      <c r="C1061" s="384"/>
      <c r="D1061" s="385">
        <v>4637</v>
      </c>
      <c r="E1061" s="446" t="s">
        <v>1121</v>
      </c>
      <c r="F1061" s="398">
        <v>231467.30000000002</v>
      </c>
      <c r="G1061" s="504">
        <v>263114.3</v>
      </c>
      <c r="H1061" s="501">
        <v>280075.43</v>
      </c>
      <c r="I1061" s="501">
        <v>308083</v>
      </c>
      <c r="J1061" s="501">
        <v>308083</v>
      </c>
    </row>
    <row r="1062" spans="1:11" ht="25.5">
      <c r="A1062" s="359"/>
      <c r="B1062" s="373">
        <v>1227</v>
      </c>
      <c r="C1062" s="371">
        <v>11003</v>
      </c>
      <c r="D1062" s="421"/>
      <c r="E1062" s="380" t="s">
        <v>702</v>
      </c>
      <c r="F1062" s="388">
        <f>+F1063</f>
        <v>141600</v>
      </c>
      <c r="G1062" s="500">
        <f>+G1063</f>
        <v>141600</v>
      </c>
      <c r="H1062" s="500">
        <f>+H1063</f>
        <v>141600</v>
      </c>
      <c r="I1062" s="500">
        <f>+I1063</f>
        <v>141600</v>
      </c>
      <c r="J1062" s="500">
        <f>+J1063</f>
        <v>141600</v>
      </c>
    </row>
    <row r="1063" spans="1:11" ht="38.25">
      <c r="A1063" s="359"/>
      <c r="B1063" s="373"/>
      <c r="C1063" s="384"/>
      <c r="D1063" s="385">
        <v>4637</v>
      </c>
      <c r="E1063" s="446" t="s">
        <v>1121</v>
      </c>
      <c r="F1063" s="463">
        <v>141600</v>
      </c>
      <c r="G1063" s="504">
        <v>141600</v>
      </c>
      <c r="H1063" s="501">
        <v>141600</v>
      </c>
      <c r="I1063" s="501">
        <v>141600</v>
      </c>
      <c r="J1063" s="501">
        <v>141600</v>
      </c>
    </row>
    <row r="1064" spans="1:11" ht="25.5">
      <c r="A1064" s="408"/>
      <c r="B1064" s="373">
        <v>1227</v>
      </c>
      <c r="C1064" s="568" t="s">
        <v>465</v>
      </c>
      <c r="D1064" s="421"/>
      <c r="E1064" s="380" t="s">
        <v>1219</v>
      </c>
      <c r="F1064" s="388">
        <f>+F1065</f>
        <v>141600</v>
      </c>
      <c r="G1064" s="500">
        <f>+G1065</f>
        <v>0</v>
      </c>
      <c r="H1064" s="500">
        <f>+H1065</f>
        <v>73254</v>
      </c>
      <c r="I1064" s="500">
        <f>+I1065</f>
        <v>33973</v>
      </c>
      <c r="J1064" s="500">
        <f>+J1065</f>
        <v>33973</v>
      </c>
    </row>
    <row r="1065" spans="1:11" ht="38.25">
      <c r="A1065" s="359"/>
      <c r="B1065" s="373"/>
      <c r="C1065" s="384"/>
      <c r="D1065" s="385">
        <v>4637</v>
      </c>
      <c r="E1065" s="446" t="s">
        <v>1121</v>
      </c>
      <c r="F1065" s="463">
        <v>141600</v>
      </c>
      <c r="G1065" s="504">
        <v>0</v>
      </c>
      <c r="H1065" s="501">
        <v>73254</v>
      </c>
      <c r="I1065" s="501">
        <v>33973</v>
      </c>
      <c r="J1065" s="501">
        <v>33973</v>
      </c>
    </row>
    <row r="1066" spans="1:11" s="582" customFormat="1">
      <c r="A1066" s="576">
        <v>22</v>
      </c>
      <c r="B1066" s="555">
        <v>1236</v>
      </c>
      <c r="C1066" s="616" t="s">
        <v>779</v>
      </c>
      <c r="D1066" s="621"/>
      <c r="E1066" s="618"/>
      <c r="F1066" s="583">
        <f>SUM(F1067,F1072,F1077,F1086,F1090,F1096)</f>
        <v>0</v>
      </c>
      <c r="G1066" s="577">
        <f>SUM(G1067,G1072,G1077,G1086,G1090,G1096)</f>
        <v>92033925.599999994</v>
      </c>
      <c r="H1066" s="577">
        <f>SUM(H1067,H1072,H1077,H1086,H1090,H1096)</f>
        <v>91544482.789013773</v>
      </c>
      <c r="I1066" s="577">
        <f>SUM(I1067,I1072,I1077,I1086,I1090,I1096)</f>
        <v>100525260.49671736</v>
      </c>
      <c r="J1066" s="577">
        <f>SUM(J1067,J1072,J1077,J1086,J1090,J1096)</f>
        <v>93710260.376314655</v>
      </c>
      <c r="K1066" s="554"/>
    </row>
    <row r="1067" spans="1:11">
      <c r="A1067" s="359"/>
      <c r="B1067" s="427">
        <v>1236</v>
      </c>
      <c r="C1067" s="431">
        <v>32001</v>
      </c>
      <c r="D1067" s="432"/>
      <c r="E1067" s="464" t="s">
        <v>1169</v>
      </c>
      <c r="F1067" s="465">
        <f>+F1068+F1070</f>
        <v>0</v>
      </c>
      <c r="G1067" s="533">
        <f>+G1068+G1070</f>
        <v>6326057.2999999998</v>
      </c>
      <c r="H1067" s="533">
        <f>+H1068+H1070</f>
        <v>3977094.7864184799</v>
      </c>
      <c r="I1067" s="533">
        <f>+I1068+I1070</f>
        <v>1825083.9724184801</v>
      </c>
      <c r="J1067" s="534">
        <f>+J1068+J1070</f>
        <v>599076.68141848</v>
      </c>
    </row>
    <row r="1068" spans="1:11" ht="25.5">
      <c r="A1068" s="359"/>
      <c r="B1068" s="427"/>
      <c r="C1068" s="431"/>
      <c r="D1068" s="432"/>
      <c r="E1068" s="406" t="s">
        <v>1196</v>
      </c>
      <c r="F1068" s="407">
        <f>+F1069</f>
        <v>0</v>
      </c>
      <c r="G1068" s="506">
        <f>+G1069</f>
        <v>0</v>
      </c>
      <c r="H1068" s="506">
        <f>+H1069</f>
        <v>1058018.5</v>
      </c>
      <c r="I1068" s="506">
        <f>+I1069</f>
        <v>0</v>
      </c>
      <c r="J1068" s="506">
        <f>+J1069</f>
        <v>0</v>
      </c>
    </row>
    <row r="1069" spans="1:11">
      <c r="A1069" s="359"/>
      <c r="B1069" s="427"/>
      <c r="C1069" s="431"/>
      <c r="D1069" s="385">
        <v>5112</v>
      </c>
      <c r="E1069" s="446" t="s">
        <v>1130</v>
      </c>
      <c r="F1069" s="466">
        <v>0</v>
      </c>
      <c r="G1069" s="504">
        <v>0</v>
      </c>
      <c r="H1069" s="504">
        <v>1058018.5</v>
      </c>
      <c r="I1069" s="504">
        <v>0</v>
      </c>
      <c r="J1069" s="504">
        <v>0</v>
      </c>
    </row>
    <row r="1070" spans="1:11">
      <c r="A1070" s="359"/>
      <c r="B1070" s="427"/>
      <c r="C1070" s="431"/>
      <c r="D1070" s="432"/>
      <c r="E1070" s="406" t="s">
        <v>1129</v>
      </c>
      <c r="F1070" s="407">
        <f>+F1071</f>
        <v>0</v>
      </c>
      <c r="G1070" s="506">
        <f>+G1071</f>
        <v>6326057.2999999998</v>
      </c>
      <c r="H1070" s="506">
        <f>+H1071</f>
        <v>2919076.2864184799</v>
      </c>
      <c r="I1070" s="506">
        <f>+I1071</f>
        <v>1825083.9724184801</v>
      </c>
      <c r="J1070" s="506">
        <f>+J1071</f>
        <v>599076.68141848</v>
      </c>
    </row>
    <row r="1071" spans="1:11">
      <c r="A1071" s="359"/>
      <c r="B1071" s="427"/>
      <c r="C1071" s="431"/>
      <c r="D1071" s="385">
        <v>5112</v>
      </c>
      <c r="E1071" s="446" t="s">
        <v>1130</v>
      </c>
      <c r="F1071" s="466">
        <v>0</v>
      </c>
      <c r="G1071" s="504">
        <v>6326057.2999999998</v>
      </c>
      <c r="H1071" s="504">
        <v>2919076.2864184799</v>
      </c>
      <c r="I1071" s="504">
        <v>1825083.9724184801</v>
      </c>
      <c r="J1071" s="504">
        <v>599076.68141848</v>
      </c>
    </row>
    <row r="1072" spans="1:11" ht="25.5">
      <c r="A1072" s="359"/>
      <c r="B1072" s="427">
        <v>1236</v>
      </c>
      <c r="C1072" s="431">
        <v>32002</v>
      </c>
      <c r="D1072" s="432"/>
      <c r="E1072" s="452" t="s">
        <v>782</v>
      </c>
      <c r="F1072" s="426">
        <f>SUM(F1073,F1075)</f>
        <v>0</v>
      </c>
      <c r="G1072" s="523">
        <f>SUM(G1073,G1075)</f>
        <v>13445068.199999999</v>
      </c>
      <c r="H1072" s="534"/>
      <c r="I1072" s="534"/>
      <c r="J1072" s="534"/>
    </row>
    <row r="1073" spans="1:10" ht="25.5">
      <c r="A1073" s="359"/>
      <c r="B1073" s="427"/>
      <c r="C1073" s="431"/>
      <c r="D1073" s="432"/>
      <c r="E1073" s="406" t="s">
        <v>1140</v>
      </c>
      <c r="F1073" s="467">
        <f>+F1074</f>
        <v>0</v>
      </c>
      <c r="G1073" s="535">
        <f>+G1074</f>
        <v>3289007.2</v>
      </c>
      <c r="H1073" s="523"/>
      <c r="I1073" s="523"/>
      <c r="J1073" s="523"/>
    </row>
    <row r="1074" spans="1:10" s="451" customFormat="1">
      <c r="A1074" s="448"/>
      <c r="B1074" s="459"/>
      <c r="C1074" s="460"/>
      <c r="D1074" s="385">
        <v>5113</v>
      </c>
      <c r="E1074" s="446" t="s">
        <v>1127</v>
      </c>
      <c r="F1074" s="463"/>
      <c r="G1074" s="536">
        <v>3289007.2</v>
      </c>
      <c r="H1074" s="525"/>
      <c r="I1074" s="525"/>
      <c r="J1074" s="525"/>
    </row>
    <row r="1075" spans="1:10">
      <c r="A1075" s="359"/>
      <c r="B1075" s="427"/>
      <c r="C1075" s="431"/>
      <c r="D1075" s="432"/>
      <c r="E1075" s="406" t="s">
        <v>1168</v>
      </c>
      <c r="F1075" s="467">
        <f>+F1076</f>
        <v>0</v>
      </c>
      <c r="G1075" s="535">
        <f>+G1076</f>
        <v>10156061</v>
      </c>
      <c r="H1075" s="523"/>
      <c r="I1075" s="523"/>
      <c r="J1075" s="523"/>
    </row>
    <row r="1076" spans="1:10" s="451" customFormat="1">
      <c r="A1076" s="448"/>
      <c r="B1076" s="459"/>
      <c r="C1076" s="460"/>
      <c r="D1076" s="385">
        <v>5113</v>
      </c>
      <c r="E1076" s="446" t="s">
        <v>1127</v>
      </c>
      <c r="F1076" s="463"/>
      <c r="G1076" s="536">
        <v>10156061</v>
      </c>
      <c r="H1076" s="525"/>
      <c r="I1076" s="525"/>
      <c r="J1076" s="525"/>
    </row>
    <row r="1077" spans="1:10">
      <c r="A1077" s="359"/>
      <c r="B1077" s="427">
        <v>1236</v>
      </c>
      <c r="C1077" s="431">
        <v>32003</v>
      </c>
      <c r="D1077" s="432"/>
      <c r="E1077" s="452" t="s">
        <v>784</v>
      </c>
      <c r="F1077" s="426">
        <v>0</v>
      </c>
      <c r="G1077" s="523">
        <f>+G1078+G1081+G1084</f>
        <v>42965282.5</v>
      </c>
      <c r="H1077" s="523">
        <f>+H1078+H1081+H1084</f>
        <v>54645276.131366089</v>
      </c>
      <c r="I1077" s="523">
        <f>+I1078+I1081+I1084</f>
        <v>77274655.992308408</v>
      </c>
      <c r="J1077" s="523">
        <f>+J1078+J1081+J1084</f>
        <v>83374229.084524974</v>
      </c>
    </row>
    <row r="1078" spans="1:10" ht="25.5">
      <c r="A1078" s="359"/>
      <c r="B1078" s="427"/>
      <c r="C1078" s="431"/>
      <c r="D1078" s="432"/>
      <c r="E1078" s="428" t="s">
        <v>1123</v>
      </c>
      <c r="F1078" s="467">
        <f>+F1079+F1080</f>
        <v>0</v>
      </c>
      <c r="G1078" s="535">
        <f>+G1079+G1080</f>
        <v>10666307.5</v>
      </c>
      <c r="H1078" s="588">
        <f>+H1079+H1080</f>
        <v>30979663.789999999</v>
      </c>
      <c r="I1078" s="588">
        <f>+I1079+I1080</f>
        <v>13682881.739999998</v>
      </c>
      <c r="J1078" s="588">
        <f>+J1079+J1080</f>
        <v>921105.6</v>
      </c>
    </row>
    <row r="1079" spans="1:10">
      <c r="A1079" s="359"/>
      <c r="B1079" s="427"/>
      <c r="C1079" s="431"/>
      <c r="D1079" s="385">
        <v>5112</v>
      </c>
      <c r="E1079" s="446" t="s">
        <v>1130</v>
      </c>
      <c r="F1079" s="463"/>
      <c r="G1079" s="536">
        <f>10330000+234233.8</f>
        <v>10564233.800000001</v>
      </c>
      <c r="H1079" s="468">
        <f>30269368.59+710295.2</f>
        <v>30979663.789999999</v>
      </c>
      <c r="I1079" s="468">
        <f>12972586.54+710295.2</f>
        <v>13682881.739999998</v>
      </c>
      <c r="J1079" s="468">
        <f>921105.6</f>
        <v>921105.6</v>
      </c>
    </row>
    <row r="1080" spans="1:10">
      <c r="A1080" s="359"/>
      <c r="B1080" s="427"/>
      <c r="C1080" s="431"/>
      <c r="D1080" s="385">
        <v>5134</v>
      </c>
      <c r="E1080" s="446" t="s">
        <v>1128</v>
      </c>
      <c r="F1080" s="463"/>
      <c r="G1080" s="536">
        <f>49700+52373.7</f>
        <v>102073.7</v>
      </c>
      <c r="H1080" s="468"/>
      <c r="I1080" s="468"/>
      <c r="J1080" s="468"/>
    </row>
    <row r="1081" spans="1:10">
      <c r="A1081" s="359"/>
      <c r="B1081" s="427"/>
      <c r="C1081" s="431"/>
      <c r="D1081" s="432"/>
      <c r="E1081" s="428" t="s">
        <v>1129</v>
      </c>
      <c r="F1081" s="467">
        <f>+F1082+F1083</f>
        <v>0</v>
      </c>
      <c r="G1081" s="535">
        <f>+G1082+G1083</f>
        <v>30167118.5</v>
      </c>
      <c r="H1081" s="588">
        <f>+H1082+H1083</f>
        <v>9125347.4035005476</v>
      </c>
      <c r="I1081" s="588">
        <f>+I1082+I1083</f>
        <v>6379955.8380283387</v>
      </c>
      <c r="J1081" s="588">
        <f>+J1082+J1083</f>
        <v>3652558.5960380952</v>
      </c>
    </row>
    <row r="1082" spans="1:10">
      <c r="A1082" s="359"/>
      <c r="B1082" s="427"/>
      <c r="C1082" s="431"/>
      <c r="D1082" s="385">
        <v>5112</v>
      </c>
      <c r="E1082" s="446" t="s">
        <v>1130</v>
      </c>
      <c r="F1082" s="463"/>
      <c r="G1082" s="536">
        <v>29956229.600000001</v>
      </c>
      <c r="H1082" s="468">
        <v>9125347.4035005476</v>
      </c>
      <c r="I1082" s="468">
        <v>6379955.8380283387</v>
      </c>
      <c r="J1082" s="468">
        <v>3652558.5960380952</v>
      </c>
    </row>
    <row r="1083" spans="1:10">
      <c r="A1083" s="359"/>
      <c r="B1083" s="427"/>
      <c r="C1083" s="431"/>
      <c r="D1083" s="385">
        <v>5134</v>
      </c>
      <c r="E1083" s="446" t="s">
        <v>1128</v>
      </c>
      <c r="F1083" s="426"/>
      <c r="G1083" s="536">
        <v>210888.9</v>
      </c>
      <c r="H1083" s="440"/>
      <c r="I1083" s="440"/>
      <c r="J1083" s="440"/>
    </row>
    <row r="1084" spans="1:10">
      <c r="A1084" s="359"/>
      <c r="B1084" s="427"/>
      <c r="C1084" s="431"/>
      <c r="D1084" s="432"/>
      <c r="E1084" s="428" t="s">
        <v>1168</v>
      </c>
      <c r="F1084" s="467">
        <f>+F1085</f>
        <v>0</v>
      </c>
      <c r="G1084" s="535">
        <f>+G1085</f>
        <v>2131856.5</v>
      </c>
      <c r="H1084" s="588">
        <f>+H1085</f>
        <v>14540264.937865539</v>
      </c>
      <c r="I1084" s="588">
        <f>+I1085</f>
        <v>57211818.414280072</v>
      </c>
      <c r="J1084" s="588">
        <f>+J1085</f>
        <v>78800564.888486877</v>
      </c>
    </row>
    <row r="1085" spans="1:10">
      <c r="A1085" s="359"/>
      <c r="B1085" s="427"/>
      <c r="C1085" s="431"/>
      <c r="D1085" s="385">
        <v>5112</v>
      </c>
      <c r="E1085" s="446" t="s">
        <v>1130</v>
      </c>
      <c r="F1085" s="463"/>
      <c r="G1085" s="536">
        <v>2131856.5</v>
      </c>
      <c r="H1085" s="468">
        <v>14540264.937865539</v>
      </c>
      <c r="I1085" s="468">
        <v>57211818.414280072</v>
      </c>
      <c r="J1085" s="468">
        <v>78800564.888486877</v>
      </c>
    </row>
    <row r="1086" spans="1:10" ht="25.5">
      <c r="A1086" s="359"/>
      <c r="B1086" s="427">
        <v>1236</v>
      </c>
      <c r="C1086" s="431">
        <v>32004</v>
      </c>
      <c r="D1086" s="432"/>
      <c r="E1086" s="452" t="s">
        <v>786</v>
      </c>
      <c r="F1086" s="440">
        <f>+F1087</f>
        <v>0</v>
      </c>
      <c r="G1086" s="523">
        <f>+G1087</f>
        <v>519427.30000000005</v>
      </c>
      <c r="H1086" s="523">
        <f>+H1087</f>
        <v>451693.46319074265</v>
      </c>
      <c r="I1086" s="523">
        <f>+I1087</f>
        <v>1092049.5219520002</v>
      </c>
      <c r="J1086" s="523">
        <f>+J1087</f>
        <v>1246954.6103712001</v>
      </c>
    </row>
    <row r="1087" spans="1:10">
      <c r="A1087" s="359"/>
      <c r="B1087" s="427"/>
      <c r="C1087" s="431"/>
      <c r="D1087" s="432"/>
      <c r="E1087" s="406" t="s">
        <v>1129</v>
      </c>
      <c r="F1087" s="469">
        <f>+F1088+F1089</f>
        <v>0</v>
      </c>
      <c r="G1087" s="535">
        <f>+G1088+G1089</f>
        <v>519427.30000000005</v>
      </c>
      <c r="H1087" s="535">
        <f>+H1088+H1089</f>
        <v>451693.46319074265</v>
      </c>
      <c r="I1087" s="535">
        <f>+I1088+I1089</f>
        <v>1092049.5219520002</v>
      </c>
      <c r="J1087" s="535">
        <f>+J1088+J1089</f>
        <v>1246954.6103712001</v>
      </c>
    </row>
    <row r="1088" spans="1:10">
      <c r="A1088" s="359"/>
      <c r="B1088" s="427"/>
      <c r="C1088" s="431"/>
      <c r="D1088" s="385">
        <v>5113</v>
      </c>
      <c r="E1088" s="422" t="s">
        <v>1127</v>
      </c>
      <c r="F1088" s="466">
        <v>0</v>
      </c>
      <c r="G1088" s="536">
        <v>383290.9</v>
      </c>
      <c r="H1088" s="536"/>
      <c r="I1088" s="536"/>
      <c r="J1088" s="536"/>
    </row>
    <row r="1089" spans="1:10">
      <c r="A1089" s="359"/>
      <c r="B1089" s="427"/>
      <c r="C1089" s="431"/>
      <c r="D1089" s="385">
        <v>5134</v>
      </c>
      <c r="E1089" s="422" t="s">
        <v>1128</v>
      </c>
      <c r="F1089" s="466">
        <v>0</v>
      </c>
      <c r="G1089" s="536">
        <v>136136.4</v>
      </c>
      <c r="H1089" s="536">
        <v>451693.46319074265</v>
      </c>
      <c r="I1089" s="536">
        <v>1092049.5219520002</v>
      </c>
      <c r="J1089" s="536">
        <v>1246954.6103712001</v>
      </c>
    </row>
    <row r="1090" spans="1:10">
      <c r="A1090" s="359"/>
      <c r="B1090" s="427">
        <v>1236</v>
      </c>
      <c r="C1090" s="431">
        <v>32005</v>
      </c>
      <c r="D1090" s="470"/>
      <c r="E1090" s="452" t="s">
        <v>788</v>
      </c>
      <c r="F1090" s="471">
        <f>SUM(F1091,F1093)</f>
        <v>0</v>
      </c>
      <c r="G1090" s="537">
        <f>SUM(G1091,G1093)</f>
        <v>19964300</v>
      </c>
      <c r="H1090" s="537">
        <f>SUM(H1091,H1093)</f>
        <v>32108768.40803846</v>
      </c>
      <c r="I1090" s="537">
        <f>SUM(I1091,I1093)</f>
        <v>14400171.010038462</v>
      </c>
      <c r="J1090" s="537">
        <f>SUM(J1091,J1093)</f>
        <v>0</v>
      </c>
    </row>
    <row r="1091" spans="1:10" ht="25.5">
      <c r="A1091" s="359"/>
      <c r="B1091" s="427"/>
      <c r="C1091" s="431"/>
      <c r="D1091" s="384"/>
      <c r="E1091" s="406" t="s">
        <v>1123</v>
      </c>
      <c r="F1091" s="469">
        <f>+F1092</f>
        <v>0</v>
      </c>
      <c r="G1091" s="535">
        <f>+G1092</f>
        <v>5350000</v>
      </c>
      <c r="H1091" s="588">
        <f>+H1092</f>
        <v>22643297.96153846</v>
      </c>
      <c r="I1091" s="588">
        <f>+I1092</f>
        <v>9962497.961538462</v>
      </c>
      <c r="J1091" s="588">
        <f>+J1092</f>
        <v>0</v>
      </c>
    </row>
    <row r="1092" spans="1:10">
      <c r="A1092" s="359"/>
      <c r="B1092" s="427"/>
      <c r="C1092" s="431"/>
      <c r="D1092" s="384">
        <v>5112</v>
      </c>
      <c r="E1092" s="422" t="s">
        <v>1130</v>
      </c>
      <c r="F1092" s="466">
        <v>0</v>
      </c>
      <c r="G1092" s="536">
        <v>5350000</v>
      </c>
      <c r="H1092" s="589">
        <v>22643297.96153846</v>
      </c>
      <c r="I1092" s="589">
        <v>9962497.961538462</v>
      </c>
      <c r="J1092" s="589">
        <v>0</v>
      </c>
    </row>
    <row r="1093" spans="1:10">
      <c r="A1093" s="359"/>
      <c r="B1093" s="427"/>
      <c r="C1093" s="431"/>
      <c r="D1093" s="384"/>
      <c r="E1093" s="406" t="s">
        <v>1129</v>
      </c>
      <c r="F1093" s="469">
        <f>+F1094+F1095</f>
        <v>0</v>
      </c>
      <c r="G1093" s="535">
        <f>+G1094+G1095</f>
        <v>14614300</v>
      </c>
      <c r="H1093" s="588">
        <f>+H1094+H1095</f>
        <v>9465470.4464999977</v>
      </c>
      <c r="I1093" s="588">
        <f>+I1094+I1095</f>
        <v>4437673.0484999996</v>
      </c>
      <c r="J1093" s="588">
        <f>+J1094+J1095</f>
        <v>0</v>
      </c>
    </row>
    <row r="1094" spans="1:10">
      <c r="A1094" s="359"/>
      <c r="B1094" s="427"/>
      <c r="C1094" s="431"/>
      <c r="D1094" s="384">
        <v>5112</v>
      </c>
      <c r="E1094" s="422" t="s">
        <v>1130</v>
      </c>
      <c r="F1094" s="466"/>
      <c r="G1094" s="536">
        <v>14591000</v>
      </c>
      <c r="H1094" s="589">
        <v>9465470.4464999977</v>
      </c>
      <c r="I1094" s="589">
        <v>4437673.0484999996</v>
      </c>
      <c r="J1094" s="589">
        <v>0</v>
      </c>
    </row>
    <row r="1095" spans="1:10">
      <c r="A1095" s="359"/>
      <c r="B1095" s="427"/>
      <c r="C1095" s="431"/>
      <c r="D1095" s="384">
        <v>5134</v>
      </c>
      <c r="E1095" s="422" t="s">
        <v>1128</v>
      </c>
      <c r="F1095" s="466">
        <v>0</v>
      </c>
      <c r="G1095" s="536">
        <v>23300</v>
      </c>
      <c r="H1095" s="589"/>
      <c r="I1095" s="589"/>
      <c r="J1095" s="589"/>
    </row>
    <row r="1096" spans="1:10" ht="38.25">
      <c r="A1096" s="359"/>
      <c r="B1096" s="427">
        <v>1236</v>
      </c>
      <c r="C1096" s="431">
        <v>32006</v>
      </c>
      <c r="D1096" s="432"/>
      <c r="E1096" s="452" t="s">
        <v>790</v>
      </c>
      <c r="F1096" s="426">
        <v>0</v>
      </c>
      <c r="G1096" s="523">
        <f>+G1097</f>
        <v>8813790.3000000007</v>
      </c>
      <c r="H1096" s="523">
        <f>+H1097</f>
        <v>361650</v>
      </c>
      <c r="I1096" s="523">
        <f>+I1097</f>
        <v>5933300</v>
      </c>
      <c r="J1096" s="523">
        <f>+J1097</f>
        <v>8490000</v>
      </c>
    </row>
    <row r="1097" spans="1:10">
      <c r="A1097" s="359"/>
      <c r="B1097" s="427"/>
      <c r="C1097" s="431"/>
      <c r="D1097" s="385">
        <v>5129</v>
      </c>
      <c r="E1097" s="385" t="s">
        <v>1135</v>
      </c>
      <c r="F1097" s="463">
        <v>0</v>
      </c>
      <c r="G1097" s="536">
        <v>8813790.3000000007</v>
      </c>
      <c r="H1097" s="589">
        <v>361650</v>
      </c>
      <c r="I1097" s="589">
        <v>5933300</v>
      </c>
      <c r="J1097" s="589">
        <v>8490000</v>
      </c>
    </row>
    <row r="1098" spans="1:10" s="405" customFormat="1">
      <c r="A1098" s="574">
        <v>23</v>
      </c>
      <c r="B1098" s="555">
        <v>1238</v>
      </c>
      <c r="C1098" s="605" t="s">
        <v>704</v>
      </c>
      <c r="D1098" s="620"/>
      <c r="E1098" s="607"/>
      <c r="F1098" s="376">
        <f>+SUM(F1124,F1172)</f>
        <v>0</v>
      </c>
      <c r="G1098" s="497">
        <f>+SUM(G1099,G1124,G1149,G1172+G1195)</f>
        <v>2747633.3</v>
      </c>
      <c r="H1098" s="497">
        <f>+SUM(H1099,H1124,H1149,H1172+H1195)</f>
        <v>6645118.4935999997</v>
      </c>
      <c r="I1098" s="497">
        <f>+SUM(I1099,I1124,I1149,I1172+I1195)</f>
        <v>6825684.298146667</v>
      </c>
      <c r="J1098" s="497">
        <f>+SUM(J1099,J1124,J1149,J1172+J1195)</f>
        <v>6883045.798146667</v>
      </c>
    </row>
    <row r="1099" spans="1:10" s="370" customFormat="1" ht="25.5">
      <c r="A1099" s="365"/>
      <c r="B1099" s="427">
        <v>1238</v>
      </c>
      <c r="C1099" s="431" t="s">
        <v>70</v>
      </c>
      <c r="D1099" s="432"/>
      <c r="E1099" s="402" t="s">
        <v>705</v>
      </c>
      <c r="F1099" s="439">
        <f>SUM(F1100,F1102,F1104,F1106,F1108,F1110,F1112,F1114,F1116,F1118,F1120,F1122)</f>
        <v>786428.60000000009</v>
      </c>
      <c r="G1099" s="514">
        <f>SUM(G1100,G1102,G1104,G1106,G1108,G1110,G1112,G1114,G1116,G1118,G1120,G1122)</f>
        <v>831707.5</v>
      </c>
      <c r="H1099" s="514">
        <f>SUM(H1100,H1102,H1104,H1106,H1108,H1110,H1112,H1114,H1116,H1118,H1120,H1122)</f>
        <v>970103.69359999988</v>
      </c>
      <c r="I1099" s="514">
        <f>SUM(I1100,I1102,I1104,I1106,I1108,I1110,I1112,I1114,I1116,I1118,I1120,I1122)</f>
        <v>1033022.4981466667</v>
      </c>
      <c r="J1099" s="514">
        <f>SUM(J1100,J1102,J1104,J1106,J1108,J1110,J1112,J1114,J1116,J1118,J1120,J1122)</f>
        <v>1046538.9981466666</v>
      </c>
    </row>
    <row r="1100" spans="1:10" ht="25.5" hidden="1">
      <c r="A1100" s="359"/>
      <c r="B1100" s="373"/>
      <c r="C1100" s="371"/>
      <c r="D1100" s="421"/>
      <c r="E1100" s="406" t="s">
        <v>1140</v>
      </c>
      <c r="F1100" s="407">
        <f>+F1101</f>
        <v>27037</v>
      </c>
      <c r="G1100" s="506">
        <f>+G1101</f>
        <v>22719.200000000001</v>
      </c>
      <c r="H1100" s="507">
        <f>+H1101</f>
        <v>22719.200000000001</v>
      </c>
      <c r="I1100" s="507">
        <f>+I1101</f>
        <v>22719.200000000001</v>
      </c>
      <c r="J1100" s="507">
        <f>+J1101</f>
        <v>22719.200000000001</v>
      </c>
    </row>
    <row r="1101" spans="1:10" ht="25.5" hidden="1">
      <c r="A1101" s="359"/>
      <c r="B1101" s="373"/>
      <c r="C1101" s="371"/>
      <c r="D1101" s="385">
        <v>4511</v>
      </c>
      <c r="E1101" s="385" t="s">
        <v>1151</v>
      </c>
      <c r="F1101" s="463">
        <v>27037</v>
      </c>
      <c r="G1101" s="508">
        <v>22719.200000000001</v>
      </c>
      <c r="H1101" s="508">
        <v>22719.200000000001</v>
      </c>
      <c r="I1101" s="508">
        <v>22719.200000000001</v>
      </c>
      <c r="J1101" s="508">
        <v>22719.200000000001</v>
      </c>
    </row>
    <row r="1102" spans="1:10" ht="25.5" hidden="1">
      <c r="A1102" s="359"/>
      <c r="B1102" s="373"/>
      <c r="C1102" s="371"/>
      <c r="D1102" s="421"/>
      <c r="E1102" s="406" t="s">
        <v>1123</v>
      </c>
      <c r="F1102" s="407">
        <f>+F1103</f>
        <v>48978.5</v>
      </c>
      <c r="G1102" s="507">
        <f>+G1103</f>
        <v>74445.399999999994</v>
      </c>
      <c r="H1102" s="507">
        <f>+H1103</f>
        <v>74445.399999999994</v>
      </c>
      <c r="I1102" s="507">
        <f>+I1103</f>
        <v>74445.399999999994</v>
      </c>
      <c r="J1102" s="507">
        <f>+J1103</f>
        <v>74445.399999999994</v>
      </c>
    </row>
    <row r="1103" spans="1:10" ht="25.5" hidden="1">
      <c r="A1103" s="359"/>
      <c r="B1103" s="373"/>
      <c r="C1103" s="371"/>
      <c r="D1103" s="385">
        <v>4511</v>
      </c>
      <c r="E1103" s="385" t="s">
        <v>1151</v>
      </c>
      <c r="F1103" s="463">
        <v>48978.5</v>
      </c>
      <c r="G1103" s="508">
        <v>74445.399999999994</v>
      </c>
      <c r="H1103" s="508">
        <v>74445.399999999994</v>
      </c>
      <c r="I1103" s="508">
        <v>74445.399999999994</v>
      </c>
      <c r="J1103" s="508">
        <v>74445.399999999994</v>
      </c>
    </row>
    <row r="1104" spans="1:10" hidden="1">
      <c r="A1104" s="359"/>
      <c r="B1104" s="373"/>
      <c r="C1104" s="371"/>
      <c r="D1104" s="421"/>
      <c r="E1104" s="406" t="s">
        <v>1141</v>
      </c>
      <c r="F1104" s="407">
        <f>+F1105</f>
        <v>66497.899999999994</v>
      </c>
      <c r="G1104" s="507">
        <f>+G1105</f>
        <v>56006.1</v>
      </c>
      <c r="H1104" s="573">
        <f>+H1105</f>
        <v>62170.6</v>
      </c>
      <c r="I1104" s="573">
        <f>+I1105</f>
        <v>75118.3</v>
      </c>
      <c r="J1104" s="573">
        <f>+J1105</f>
        <v>75312.7</v>
      </c>
    </row>
    <row r="1105" spans="1:10" ht="25.5" hidden="1">
      <c r="A1105" s="359"/>
      <c r="B1105" s="373"/>
      <c r="C1105" s="371"/>
      <c r="D1105" s="385">
        <v>4511</v>
      </c>
      <c r="E1105" s="385" t="s">
        <v>1151</v>
      </c>
      <c r="F1105" s="463">
        <v>66497.899999999994</v>
      </c>
      <c r="G1105" s="508">
        <v>56006.1</v>
      </c>
      <c r="H1105" s="508">
        <v>62170.6</v>
      </c>
      <c r="I1105" s="508">
        <v>75118.3</v>
      </c>
      <c r="J1105" s="508">
        <v>75312.7</v>
      </c>
    </row>
    <row r="1106" spans="1:10" hidden="1">
      <c r="A1106" s="359"/>
      <c r="B1106" s="373"/>
      <c r="C1106" s="371"/>
      <c r="D1106" s="421"/>
      <c r="E1106" s="406" t="s">
        <v>1142</v>
      </c>
      <c r="F1106" s="407">
        <f>+F1107</f>
        <v>81090.399999999994</v>
      </c>
      <c r="G1106" s="506">
        <f>+G1107</f>
        <v>87070.399999999994</v>
      </c>
      <c r="H1106" s="506">
        <f>+H1107</f>
        <v>91046.8</v>
      </c>
      <c r="I1106" s="506">
        <f>+I1107</f>
        <v>91046.8</v>
      </c>
      <c r="J1106" s="506">
        <f>+J1107</f>
        <v>91046.8</v>
      </c>
    </row>
    <row r="1107" spans="1:10" ht="25.5" hidden="1">
      <c r="A1107" s="359"/>
      <c r="B1107" s="373"/>
      <c r="C1107" s="371"/>
      <c r="D1107" s="385">
        <v>4511</v>
      </c>
      <c r="E1107" s="385" t="s">
        <v>1151</v>
      </c>
      <c r="F1107" s="463">
        <v>81090.399999999994</v>
      </c>
      <c r="G1107" s="508">
        <v>87070.399999999994</v>
      </c>
      <c r="H1107" s="508">
        <v>91046.8</v>
      </c>
      <c r="I1107" s="508">
        <v>91046.8</v>
      </c>
      <c r="J1107" s="508">
        <v>91046.8</v>
      </c>
    </row>
    <row r="1108" spans="1:10" hidden="1">
      <c r="A1108" s="359"/>
      <c r="B1108" s="373"/>
      <c r="C1108" s="371"/>
      <c r="D1108" s="421"/>
      <c r="E1108" s="406" t="s">
        <v>1143</v>
      </c>
      <c r="F1108" s="407">
        <f>+F1109</f>
        <v>162215.1</v>
      </c>
      <c r="G1108" s="506">
        <f>+G1109</f>
        <v>139979.4</v>
      </c>
      <c r="H1108" s="506">
        <f>+H1109</f>
        <v>208688</v>
      </c>
      <c r="I1108" s="506">
        <f>+I1109</f>
        <v>221804</v>
      </c>
      <c r="J1108" s="506">
        <f>+J1109</f>
        <v>221973.8</v>
      </c>
    </row>
    <row r="1109" spans="1:10" ht="25.5" hidden="1">
      <c r="A1109" s="359"/>
      <c r="B1109" s="373"/>
      <c r="C1109" s="371"/>
      <c r="D1109" s="385">
        <v>4511</v>
      </c>
      <c r="E1109" s="385" t="s">
        <v>1151</v>
      </c>
      <c r="F1109" s="463">
        <v>162215.1</v>
      </c>
      <c r="G1109" s="508">
        <v>139979.4</v>
      </c>
      <c r="H1109" s="508">
        <v>208688</v>
      </c>
      <c r="I1109" s="508">
        <v>221804</v>
      </c>
      <c r="J1109" s="508">
        <v>221973.8</v>
      </c>
    </row>
    <row r="1110" spans="1:10" hidden="1">
      <c r="A1110" s="359"/>
      <c r="B1110" s="373"/>
      <c r="C1110" s="371"/>
      <c r="D1110" s="421"/>
      <c r="E1110" s="406" t="s">
        <v>1144</v>
      </c>
      <c r="F1110" s="407">
        <f>+F1111</f>
        <v>133455.79999999999</v>
      </c>
      <c r="G1110" s="506">
        <f>+G1111</f>
        <v>154858.70000000001</v>
      </c>
      <c r="H1110" s="506">
        <f>+H1111</f>
        <v>162891.50399999999</v>
      </c>
      <c r="I1110" s="506">
        <f>+I1111</f>
        <v>185437.568</v>
      </c>
      <c r="J1110" s="506">
        <f>+J1111</f>
        <v>185437.568</v>
      </c>
    </row>
    <row r="1111" spans="1:10" ht="25.5" hidden="1">
      <c r="A1111" s="359"/>
      <c r="B1111" s="373"/>
      <c r="C1111" s="371"/>
      <c r="D1111" s="385">
        <v>4511</v>
      </c>
      <c r="E1111" s="385" t="s">
        <v>1151</v>
      </c>
      <c r="F1111" s="463">
        <v>133455.79999999999</v>
      </c>
      <c r="G1111" s="508">
        <v>154858.70000000001</v>
      </c>
      <c r="H1111" s="508">
        <v>162891.50399999999</v>
      </c>
      <c r="I1111" s="508">
        <v>185437.568</v>
      </c>
      <c r="J1111" s="508">
        <v>185437.568</v>
      </c>
    </row>
    <row r="1112" spans="1:10" hidden="1">
      <c r="A1112" s="359"/>
      <c r="B1112" s="373"/>
      <c r="C1112" s="371"/>
      <c r="D1112" s="421"/>
      <c r="E1112" s="406" t="s">
        <v>1145</v>
      </c>
      <c r="F1112" s="407">
        <f>+F1113</f>
        <v>64379.1</v>
      </c>
      <c r="G1112" s="506">
        <f>+G1113</f>
        <v>73316.5</v>
      </c>
      <c r="H1112" s="506">
        <f>+H1113</f>
        <v>113905.60000000001</v>
      </c>
      <c r="I1112" s="506">
        <f>+I1113</f>
        <v>114665.8</v>
      </c>
      <c r="J1112" s="506">
        <f>+J1113</f>
        <v>126853.9</v>
      </c>
    </row>
    <row r="1113" spans="1:10" ht="25.5" hidden="1">
      <c r="A1113" s="359"/>
      <c r="B1113" s="373"/>
      <c r="C1113" s="371"/>
      <c r="D1113" s="385">
        <v>4511</v>
      </c>
      <c r="E1113" s="385" t="s">
        <v>1151</v>
      </c>
      <c r="F1113" s="463">
        <v>64379.1</v>
      </c>
      <c r="G1113" s="508">
        <v>73316.5</v>
      </c>
      <c r="H1113" s="508">
        <v>113905.60000000001</v>
      </c>
      <c r="I1113" s="508">
        <v>114665.8</v>
      </c>
      <c r="J1113" s="508">
        <v>126853.9</v>
      </c>
    </row>
    <row r="1114" spans="1:10" hidden="1">
      <c r="A1114" s="359"/>
      <c r="B1114" s="373"/>
      <c r="C1114" s="371"/>
      <c r="D1114" s="421"/>
      <c r="E1114" s="406" t="s">
        <v>1146</v>
      </c>
      <c r="F1114" s="407">
        <f>+F1115</f>
        <v>66536</v>
      </c>
      <c r="G1114" s="506">
        <f>+G1115</f>
        <v>84720</v>
      </c>
      <c r="H1114" s="506">
        <f>+H1115</f>
        <v>73151.399999999994</v>
      </c>
      <c r="I1114" s="506">
        <f>+I1115</f>
        <v>88839.840546666674</v>
      </c>
      <c r="J1114" s="506">
        <f>+J1115</f>
        <v>88839.840546666674</v>
      </c>
    </row>
    <row r="1115" spans="1:10" ht="25.5" hidden="1">
      <c r="A1115" s="359"/>
      <c r="B1115" s="373"/>
      <c r="C1115" s="371"/>
      <c r="D1115" s="385">
        <v>4511</v>
      </c>
      <c r="E1115" s="385" t="s">
        <v>1151</v>
      </c>
      <c r="F1115" s="463">
        <v>66536</v>
      </c>
      <c r="G1115" s="508">
        <v>84720</v>
      </c>
      <c r="H1115" s="508">
        <v>73151.399999999994</v>
      </c>
      <c r="I1115" s="508">
        <v>88839.840546666674</v>
      </c>
      <c r="J1115" s="508">
        <v>88839.840546666674</v>
      </c>
    </row>
    <row r="1116" spans="1:10" hidden="1">
      <c r="A1116" s="359"/>
      <c r="B1116" s="373"/>
      <c r="C1116" s="371"/>
      <c r="D1116" s="421"/>
      <c r="E1116" s="406" t="s">
        <v>1147</v>
      </c>
      <c r="F1116" s="407">
        <f>+F1117</f>
        <v>85500</v>
      </c>
      <c r="G1116" s="506">
        <f>+G1117</f>
        <v>95399.9</v>
      </c>
      <c r="H1116" s="506">
        <f>+H1117</f>
        <v>89393.989599999972</v>
      </c>
      <c r="I1116" s="506">
        <f>+I1117</f>
        <v>89393.989599999972</v>
      </c>
      <c r="J1116" s="506">
        <f>+J1117</f>
        <v>89393.989599999972</v>
      </c>
    </row>
    <row r="1117" spans="1:10" ht="25.5" hidden="1">
      <c r="A1117" s="359"/>
      <c r="B1117" s="373"/>
      <c r="C1117" s="371"/>
      <c r="D1117" s="385">
        <v>4511</v>
      </c>
      <c r="E1117" s="385" t="s">
        <v>1151</v>
      </c>
      <c r="F1117" s="463">
        <v>85500</v>
      </c>
      <c r="G1117" s="508">
        <v>95399.9</v>
      </c>
      <c r="H1117" s="508">
        <v>89393.989599999972</v>
      </c>
      <c r="I1117" s="508">
        <v>89393.989599999972</v>
      </c>
      <c r="J1117" s="508">
        <v>89393.989599999972</v>
      </c>
    </row>
    <row r="1118" spans="1:10" hidden="1">
      <c r="A1118" s="359"/>
      <c r="B1118" s="373"/>
      <c r="C1118" s="371"/>
      <c r="D1118" s="421"/>
      <c r="E1118" s="406" t="s">
        <v>1148</v>
      </c>
      <c r="F1118" s="407">
        <f>+F1119</f>
        <v>9724.2999999999993</v>
      </c>
      <c r="G1118" s="506">
        <f>+G1119</f>
        <v>7254.6</v>
      </c>
      <c r="H1118" s="506">
        <f>+H1119</f>
        <v>16760.7</v>
      </c>
      <c r="I1118" s="506">
        <f>+I1119</f>
        <v>16760.7</v>
      </c>
      <c r="J1118" s="506">
        <f>+J1119</f>
        <v>16760.7</v>
      </c>
    </row>
    <row r="1119" spans="1:10" ht="25.5" hidden="1">
      <c r="A1119" s="359"/>
      <c r="B1119" s="373"/>
      <c r="C1119" s="371"/>
      <c r="D1119" s="385">
        <v>4511</v>
      </c>
      <c r="E1119" s="385" t="s">
        <v>1151</v>
      </c>
      <c r="F1119" s="463">
        <v>9724.2999999999993</v>
      </c>
      <c r="G1119" s="508">
        <v>7254.6</v>
      </c>
      <c r="H1119" s="508">
        <v>16760.7</v>
      </c>
      <c r="I1119" s="508">
        <v>16760.7</v>
      </c>
      <c r="J1119" s="508">
        <v>16760.7</v>
      </c>
    </row>
    <row r="1120" spans="1:10" hidden="1">
      <c r="A1120" s="359"/>
      <c r="B1120" s="373"/>
      <c r="C1120" s="371"/>
      <c r="D1120" s="421"/>
      <c r="E1120" s="406" t="s">
        <v>1149</v>
      </c>
      <c r="F1120" s="407">
        <f>+F1121</f>
        <v>21108.5</v>
      </c>
      <c r="G1120" s="506">
        <f>+G1121</f>
        <v>16229.3</v>
      </c>
      <c r="H1120" s="506">
        <f>+H1121</f>
        <v>29758</v>
      </c>
      <c r="I1120" s="506">
        <f>+I1121</f>
        <v>29758</v>
      </c>
      <c r="J1120" s="506">
        <f>+J1121</f>
        <v>29758</v>
      </c>
    </row>
    <row r="1121" spans="1:10" ht="25.5" hidden="1">
      <c r="A1121" s="359"/>
      <c r="B1121" s="373"/>
      <c r="C1121" s="371"/>
      <c r="D1121" s="385">
        <v>4511</v>
      </c>
      <c r="E1121" s="385" t="s">
        <v>1151</v>
      </c>
      <c r="F1121" s="463">
        <v>21108.5</v>
      </c>
      <c r="G1121" s="508">
        <v>16229.3</v>
      </c>
      <c r="H1121" s="508">
        <v>29758</v>
      </c>
      <c r="I1121" s="508">
        <v>29758</v>
      </c>
      <c r="J1121" s="508">
        <v>29758</v>
      </c>
    </row>
    <row r="1122" spans="1:10" hidden="1">
      <c r="A1122" s="359"/>
      <c r="B1122" s="373"/>
      <c r="C1122" s="371"/>
      <c r="D1122" s="421"/>
      <c r="E1122" s="406" t="s">
        <v>1150</v>
      </c>
      <c r="F1122" s="407">
        <f>+F1123</f>
        <v>19906</v>
      </c>
      <c r="G1122" s="506">
        <f>+G1123</f>
        <v>19708</v>
      </c>
      <c r="H1122" s="506">
        <f>+H1123</f>
        <v>25172.5</v>
      </c>
      <c r="I1122" s="506">
        <f>+I1123</f>
        <v>23032.9</v>
      </c>
      <c r="J1122" s="506">
        <f>+J1123</f>
        <v>23997.1</v>
      </c>
    </row>
    <row r="1123" spans="1:10" ht="25.5" hidden="1">
      <c r="A1123" s="359"/>
      <c r="B1123" s="373"/>
      <c r="C1123" s="371"/>
      <c r="D1123" s="385">
        <v>4511</v>
      </c>
      <c r="E1123" s="385" t="s">
        <v>1151</v>
      </c>
      <c r="F1123" s="463">
        <v>19906</v>
      </c>
      <c r="G1123" s="508">
        <v>19708</v>
      </c>
      <c r="H1123" s="508">
        <v>25172.5</v>
      </c>
      <c r="I1123" s="508">
        <v>23032.9</v>
      </c>
      <c r="J1123" s="508">
        <v>23997.1</v>
      </c>
    </row>
    <row r="1124" spans="1:10" s="370" customFormat="1" ht="38.25">
      <c r="A1124" s="365"/>
      <c r="B1124" s="427">
        <v>1238</v>
      </c>
      <c r="C1124" s="431" t="s">
        <v>233</v>
      </c>
      <c r="D1124" s="432"/>
      <c r="E1124" s="402" t="s">
        <v>706</v>
      </c>
      <c r="F1124" s="426">
        <f>SUM(F1125,F1127,F1129,F1131,F1133,F1135,F1137,F1139,F1141,F1143,F1145,F1147)</f>
        <v>0</v>
      </c>
      <c r="G1124" s="514">
        <f>SUM(G1125,G1127,G1129,G1131,G1133,G1135,G1137,G1139,G1141,G1143,G1145,G1147)</f>
        <v>36048</v>
      </c>
      <c r="H1124" s="514">
        <f>SUM(H1125,H1127,H1129,H1131,H1133,H1135,H1137,H1139,H1141,H1143,H1145,H1147)</f>
        <v>37000</v>
      </c>
      <c r="I1124" s="514">
        <f>SUM(I1125,I1127,I1129,I1131,I1133,I1135,I1137,I1139,I1141,I1143,I1145,I1147)</f>
        <v>38200</v>
      </c>
      <c r="J1124" s="514">
        <f>SUM(J1125,J1127,J1129,J1131,J1133,J1135,J1137,J1139,J1141,J1143,J1145,J1147)</f>
        <v>39160</v>
      </c>
    </row>
    <row r="1125" spans="1:10" ht="25.5" hidden="1">
      <c r="A1125" s="359"/>
      <c r="B1125" s="373"/>
      <c r="C1125" s="371"/>
      <c r="D1125" s="421"/>
      <c r="E1125" s="406" t="s">
        <v>1140</v>
      </c>
      <c r="F1125" s="407">
        <f>+F1126</f>
        <v>0</v>
      </c>
      <c r="G1125" s="506">
        <f>+G1126</f>
        <v>5890.8</v>
      </c>
      <c r="H1125" s="506">
        <f>+H1126</f>
        <v>8400</v>
      </c>
      <c r="I1125" s="506">
        <f>+I1126</f>
        <v>9120</v>
      </c>
      <c r="J1125" s="506">
        <f>+J1126</f>
        <v>9600</v>
      </c>
    </row>
    <row r="1126" spans="1:10" hidden="1">
      <c r="A1126" s="359"/>
      <c r="B1126" s="373"/>
      <c r="C1126" s="371"/>
      <c r="D1126" s="385">
        <v>4729</v>
      </c>
      <c r="E1126" s="385" t="s">
        <v>1125</v>
      </c>
      <c r="F1126" s="463">
        <v>0</v>
      </c>
      <c r="G1126" s="508">
        <v>5890.8</v>
      </c>
      <c r="H1126" s="508">
        <v>8400</v>
      </c>
      <c r="I1126" s="508">
        <v>9120</v>
      </c>
      <c r="J1126" s="508">
        <v>9600</v>
      </c>
    </row>
    <row r="1127" spans="1:10" ht="25.5" hidden="1">
      <c r="A1127" s="359"/>
      <c r="B1127" s="373"/>
      <c r="C1127" s="371"/>
      <c r="D1127" s="421"/>
      <c r="E1127" s="406" t="s">
        <v>1123</v>
      </c>
      <c r="F1127" s="407">
        <f>+F1128</f>
        <v>0</v>
      </c>
      <c r="G1127" s="506">
        <f>+G1128</f>
        <v>6554.8</v>
      </c>
      <c r="H1127" s="506">
        <f>+H1128</f>
        <v>0</v>
      </c>
      <c r="I1127" s="506" t="str">
        <f>+I1128</f>
        <v>0 0</v>
      </c>
      <c r="J1127" s="506">
        <f>+J1128</f>
        <v>0</v>
      </c>
    </row>
    <row r="1128" spans="1:10" hidden="1">
      <c r="A1128" s="359"/>
      <c r="B1128" s="373"/>
      <c r="C1128" s="371"/>
      <c r="D1128" s="385">
        <v>4729</v>
      </c>
      <c r="E1128" s="385" t="s">
        <v>1125</v>
      </c>
      <c r="F1128" s="463">
        <v>0</v>
      </c>
      <c r="G1128" s="508">
        <v>6554.8</v>
      </c>
      <c r="H1128" s="508">
        <v>0</v>
      </c>
      <c r="I1128" s="508" t="s">
        <v>1192</v>
      </c>
      <c r="J1128" s="508">
        <v>0</v>
      </c>
    </row>
    <row r="1129" spans="1:10" hidden="1">
      <c r="A1129" s="359"/>
      <c r="B1129" s="373"/>
      <c r="C1129" s="371"/>
      <c r="D1129" s="421"/>
      <c r="E1129" s="406" t="s">
        <v>1141</v>
      </c>
      <c r="F1129" s="407">
        <f>+F1130</f>
        <v>0</v>
      </c>
      <c r="G1129" s="506">
        <f>+G1130</f>
        <v>1806.5</v>
      </c>
      <c r="H1129" s="506">
        <f>+H1130</f>
        <v>2400</v>
      </c>
      <c r="I1129" s="506">
        <f>+I1130</f>
        <v>2520</v>
      </c>
      <c r="J1129" s="506">
        <f>+J1130</f>
        <v>2520</v>
      </c>
    </row>
    <row r="1130" spans="1:10" hidden="1">
      <c r="A1130" s="359"/>
      <c r="B1130" s="373"/>
      <c r="C1130" s="371"/>
      <c r="D1130" s="385">
        <v>4729</v>
      </c>
      <c r="E1130" s="385" t="s">
        <v>1125</v>
      </c>
      <c r="F1130" s="463">
        <v>0</v>
      </c>
      <c r="G1130" s="508">
        <v>1806.5</v>
      </c>
      <c r="H1130" s="508">
        <v>2400</v>
      </c>
      <c r="I1130" s="508">
        <v>2520</v>
      </c>
      <c r="J1130" s="508">
        <v>2520</v>
      </c>
    </row>
    <row r="1131" spans="1:10" hidden="1">
      <c r="A1131" s="359"/>
      <c r="B1131" s="373"/>
      <c r="C1131" s="371"/>
      <c r="D1131" s="421"/>
      <c r="E1131" s="406" t="s">
        <v>1142</v>
      </c>
      <c r="F1131" s="407">
        <f>+F1132</f>
        <v>0</v>
      </c>
      <c r="G1131" s="506">
        <f>+G1132</f>
        <v>4909</v>
      </c>
      <c r="H1131" s="506">
        <f>+H1132</f>
        <v>6000</v>
      </c>
      <c r="I1131" s="506">
        <f>+I1132</f>
        <v>6000</v>
      </c>
      <c r="J1131" s="506">
        <f>+J1132</f>
        <v>6000</v>
      </c>
    </row>
    <row r="1132" spans="1:10" hidden="1">
      <c r="A1132" s="359"/>
      <c r="B1132" s="373"/>
      <c r="C1132" s="371"/>
      <c r="D1132" s="385">
        <v>4729</v>
      </c>
      <c r="E1132" s="385" t="s">
        <v>1125</v>
      </c>
      <c r="F1132" s="463">
        <v>0</v>
      </c>
      <c r="G1132" s="508">
        <v>4909</v>
      </c>
      <c r="H1132" s="508">
        <v>6000</v>
      </c>
      <c r="I1132" s="508">
        <v>6000</v>
      </c>
      <c r="J1132" s="508">
        <v>6000</v>
      </c>
    </row>
    <row r="1133" spans="1:10" hidden="1">
      <c r="A1133" s="359"/>
      <c r="B1133" s="373"/>
      <c r="C1133" s="371"/>
      <c r="D1133" s="421"/>
      <c r="E1133" s="406" t="s">
        <v>1143</v>
      </c>
      <c r="F1133" s="407">
        <f>+F1134</f>
        <v>0</v>
      </c>
      <c r="G1133" s="506">
        <f>+G1134</f>
        <v>2356.3000000000002</v>
      </c>
      <c r="H1133" s="506">
        <f>+H1134</f>
        <v>2880</v>
      </c>
      <c r="I1133" s="506">
        <f>+I1134</f>
        <v>2880</v>
      </c>
      <c r="J1133" s="506">
        <f>+J1134</f>
        <v>2880</v>
      </c>
    </row>
    <row r="1134" spans="1:10" hidden="1">
      <c r="A1134" s="359"/>
      <c r="B1134" s="373"/>
      <c r="C1134" s="371"/>
      <c r="D1134" s="385">
        <v>4729</v>
      </c>
      <c r="E1134" s="385" t="s">
        <v>1125</v>
      </c>
      <c r="F1134" s="463">
        <v>0</v>
      </c>
      <c r="G1134" s="508">
        <v>2356.3000000000002</v>
      </c>
      <c r="H1134" s="508">
        <v>2880</v>
      </c>
      <c r="I1134" s="508">
        <v>2880</v>
      </c>
      <c r="J1134" s="508">
        <v>2880</v>
      </c>
    </row>
    <row r="1135" spans="1:10" hidden="1">
      <c r="A1135" s="359"/>
      <c r="B1135" s="373"/>
      <c r="C1135" s="371"/>
      <c r="D1135" s="421"/>
      <c r="E1135" s="406" t="s">
        <v>1144</v>
      </c>
      <c r="F1135" s="407">
        <f>+F1136</f>
        <v>0</v>
      </c>
      <c r="G1135" s="506">
        <f>+G1136</f>
        <v>1178.2</v>
      </c>
      <c r="H1135" s="506">
        <f>+H1136</f>
        <v>1440</v>
      </c>
      <c r="I1135" s="506">
        <f>+I1136</f>
        <v>1440</v>
      </c>
      <c r="J1135" s="506">
        <f>+J1136</f>
        <v>1440</v>
      </c>
    </row>
    <row r="1136" spans="1:10" hidden="1">
      <c r="A1136" s="359"/>
      <c r="B1136" s="373"/>
      <c r="C1136" s="371"/>
      <c r="D1136" s="385">
        <v>4729</v>
      </c>
      <c r="E1136" s="385" t="s">
        <v>1125</v>
      </c>
      <c r="F1136" s="463">
        <v>0</v>
      </c>
      <c r="G1136" s="508">
        <v>1178.2</v>
      </c>
      <c r="H1136" s="508">
        <v>1440</v>
      </c>
      <c r="I1136" s="508">
        <v>1440</v>
      </c>
      <c r="J1136" s="508">
        <v>1440</v>
      </c>
    </row>
    <row r="1137" spans="1:10" hidden="1">
      <c r="A1137" s="359"/>
      <c r="B1137" s="373"/>
      <c r="C1137" s="371"/>
      <c r="D1137" s="421"/>
      <c r="E1137" s="406" t="s">
        <v>1145</v>
      </c>
      <c r="F1137" s="407">
        <f>+F1138</f>
        <v>0</v>
      </c>
      <c r="G1137" s="506">
        <f>+G1138</f>
        <v>1963.6</v>
      </c>
      <c r="H1137" s="506">
        <f>+H1138</f>
        <v>2640</v>
      </c>
      <c r="I1137" s="506">
        <f>+I1138</f>
        <v>2760</v>
      </c>
      <c r="J1137" s="506">
        <f>+J1138</f>
        <v>2760</v>
      </c>
    </row>
    <row r="1138" spans="1:10" hidden="1">
      <c r="A1138" s="359"/>
      <c r="B1138" s="373"/>
      <c r="C1138" s="371"/>
      <c r="D1138" s="385">
        <v>4729</v>
      </c>
      <c r="E1138" s="385" t="s">
        <v>1125</v>
      </c>
      <c r="F1138" s="463">
        <v>0</v>
      </c>
      <c r="G1138" s="508">
        <v>1963.6</v>
      </c>
      <c r="H1138" s="508">
        <v>2640</v>
      </c>
      <c r="I1138" s="508">
        <v>2760</v>
      </c>
      <c r="J1138" s="508">
        <v>2760</v>
      </c>
    </row>
    <row r="1139" spans="1:10" hidden="1">
      <c r="A1139" s="359"/>
      <c r="B1139" s="373"/>
      <c r="C1139" s="371"/>
      <c r="D1139" s="421"/>
      <c r="E1139" s="406" t="s">
        <v>1146</v>
      </c>
      <c r="F1139" s="407">
        <f>+F1140</f>
        <v>0</v>
      </c>
      <c r="G1139" s="506">
        <f>+G1140</f>
        <v>2749</v>
      </c>
      <c r="H1139" s="506">
        <f>+H1140</f>
        <v>3360</v>
      </c>
      <c r="I1139" s="506">
        <f>+I1140</f>
        <v>3360</v>
      </c>
      <c r="J1139" s="506">
        <f>+J1140</f>
        <v>3600</v>
      </c>
    </row>
    <row r="1140" spans="1:10" hidden="1">
      <c r="A1140" s="359"/>
      <c r="B1140" s="373"/>
      <c r="C1140" s="371"/>
      <c r="D1140" s="385">
        <v>4729</v>
      </c>
      <c r="E1140" s="385" t="s">
        <v>1125</v>
      </c>
      <c r="F1140" s="463">
        <v>0</v>
      </c>
      <c r="G1140" s="508">
        <v>2749</v>
      </c>
      <c r="H1140" s="508">
        <v>3360</v>
      </c>
      <c r="I1140" s="508">
        <v>3360</v>
      </c>
      <c r="J1140" s="508">
        <v>3600</v>
      </c>
    </row>
    <row r="1141" spans="1:10" hidden="1">
      <c r="A1141" s="359"/>
      <c r="B1141" s="373"/>
      <c r="C1141" s="371"/>
      <c r="D1141" s="421"/>
      <c r="E1141" s="406" t="s">
        <v>1147</v>
      </c>
      <c r="F1141" s="407">
        <f>+F1142</f>
        <v>0</v>
      </c>
      <c r="G1141" s="506">
        <f>+G1142</f>
        <v>1963.6</v>
      </c>
      <c r="H1141" s="506">
        <f>+H1142</f>
        <v>2640</v>
      </c>
      <c r="I1141" s="506">
        <f>+I1142</f>
        <v>2760</v>
      </c>
      <c r="J1141" s="506">
        <f>+J1142</f>
        <v>2760</v>
      </c>
    </row>
    <row r="1142" spans="1:10" hidden="1">
      <c r="A1142" s="359"/>
      <c r="B1142" s="373"/>
      <c r="C1142" s="371"/>
      <c r="D1142" s="385">
        <v>4729</v>
      </c>
      <c r="E1142" s="385" t="s">
        <v>1125</v>
      </c>
      <c r="F1142" s="463">
        <v>0</v>
      </c>
      <c r="G1142" s="508">
        <v>1963.6</v>
      </c>
      <c r="H1142" s="508">
        <v>2640</v>
      </c>
      <c r="I1142" s="508">
        <v>2760</v>
      </c>
      <c r="J1142" s="508">
        <v>2760</v>
      </c>
    </row>
    <row r="1143" spans="1:10" hidden="1">
      <c r="A1143" s="359"/>
      <c r="B1143" s="373"/>
      <c r="C1143" s="371"/>
      <c r="D1143" s="421"/>
      <c r="E1143" s="406" t="s">
        <v>1148</v>
      </c>
      <c r="F1143" s="407">
        <f>+F1144</f>
        <v>0</v>
      </c>
      <c r="G1143" s="506">
        <f>+G1144</f>
        <v>2552.6999999999998</v>
      </c>
      <c r="H1143" s="506">
        <f>+H1144</f>
        <v>2760</v>
      </c>
      <c r="I1143" s="506">
        <f>+I1144</f>
        <v>2880</v>
      </c>
      <c r="J1143" s="506">
        <f>+J1144</f>
        <v>3120</v>
      </c>
    </row>
    <row r="1144" spans="1:10" hidden="1">
      <c r="A1144" s="359"/>
      <c r="B1144" s="373"/>
      <c r="C1144" s="371"/>
      <c r="D1144" s="385">
        <v>4729</v>
      </c>
      <c r="E1144" s="385" t="s">
        <v>1125</v>
      </c>
      <c r="F1144" s="463">
        <v>0</v>
      </c>
      <c r="G1144" s="508">
        <v>2552.6999999999998</v>
      </c>
      <c r="H1144" s="508">
        <v>2760</v>
      </c>
      <c r="I1144" s="508">
        <v>2880</v>
      </c>
      <c r="J1144" s="508">
        <v>3120</v>
      </c>
    </row>
    <row r="1145" spans="1:10" hidden="1">
      <c r="A1145" s="359"/>
      <c r="B1145" s="373"/>
      <c r="C1145" s="371"/>
      <c r="D1145" s="421"/>
      <c r="E1145" s="406" t="s">
        <v>1149</v>
      </c>
      <c r="F1145" s="407">
        <f>+F1146</f>
        <v>0</v>
      </c>
      <c r="G1145" s="506">
        <f>+G1146</f>
        <v>1374.5</v>
      </c>
      <c r="H1145" s="506">
        <f>+H1146</f>
        <v>1120</v>
      </c>
      <c r="I1145" s="506">
        <f>+I1146</f>
        <v>1120</v>
      </c>
      <c r="J1145" s="506">
        <f>+J1146</f>
        <v>1120</v>
      </c>
    </row>
    <row r="1146" spans="1:10" hidden="1">
      <c r="A1146" s="359"/>
      <c r="B1146" s="373"/>
      <c r="C1146" s="371"/>
      <c r="D1146" s="385">
        <v>4729</v>
      </c>
      <c r="E1146" s="385" t="s">
        <v>1125</v>
      </c>
      <c r="F1146" s="463">
        <v>0</v>
      </c>
      <c r="G1146" s="508">
        <v>1374.5</v>
      </c>
      <c r="H1146" s="508">
        <v>1120</v>
      </c>
      <c r="I1146" s="508">
        <v>1120</v>
      </c>
      <c r="J1146" s="508">
        <v>1120</v>
      </c>
    </row>
    <row r="1147" spans="1:10" hidden="1">
      <c r="A1147" s="359"/>
      <c r="B1147" s="373"/>
      <c r="C1147" s="371"/>
      <c r="D1147" s="421"/>
      <c r="E1147" s="406" t="s">
        <v>1150</v>
      </c>
      <c r="F1147" s="407">
        <f>+F1148</f>
        <v>0</v>
      </c>
      <c r="G1147" s="506">
        <f>+G1148</f>
        <v>2749</v>
      </c>
      <c r="H1147" s="506">
        <f>+H1148</f>
        <v>3360</v>
      </c>
      <c r="I1147" s="506">
        <f>+I1148</f>
        <v>3360</v>
      </c>
      <c r="J1147" s="506">
        <f>+J1148</f>
        <v>3360</v>
      </c>
    </row>
    <row r="1148" spans="1:10" hidden="1">
      <c r="A1148" s="359"/>
      <c r="B1148" s="373"/>
      <c r="C1148" s="371"/>
      <c r="D1148" s="385">
        <v>4729</v>
      </c>
      <c r="E1148" s="385" t="s">
        <v>1125</v>
      </c>
      <c r="F1148" s="463">
        <v>0</v>
      </c>
      <c r="G1148" s="508">
        <v>2749</v>
      </c>
      <c r="H1148" s="508">
        <v>3360</v>
      </c>
      <c r="I1148" s="508">
        <v>3360</v>
      </c>
      <c r="J1148" s="508">
        <v>3360</v>
      </c>
    </row>
    <row r="1149" spans="1:10" s="370" customFormat="1" ht="38.25">
      <c r="A1149" s="365"/>
      <c r="B1149" s="427">
        <v>1238</v>
      </c>
      <c r="C1149" s="431" t="s">
        <v>257</v>
      </c>
      <c r="D1149" s="432"/>
      <c r="E1149" s="402" t="s">
        <v>707</v>
      </c>
      <c r="F1149" s="425">
        <f>SUM(F1150,F1152,F1154,F1156,F1158,F1160,F1162,F1164,F1166,F1168,F1170)</f>
        <v>783211</v>
      </c>
      <c r="G1149" s="513">
        <f>SUM(G1150,G1152,G1154,G1156,G1158,G1160,G1162,G1164,G1166,G1168,G1170)</f>
        <v>1839197.7999999998</v>
      </c>
      <c r="H1149" s="513">
        <f>SUM(H1150,H1152,H1154,H1156,H1158,H1160,H1162,H1164,H1166,H1168,H1170)</f>
        <v>5518774.7999999998</v>
      </c>
      <c r="I1149" s="513">
        <f>SUM(I1150,I1152,I1154,I1156,I1158,I1160,I1162,I1164,I1166,I1168,I1170)</f>
        <v>5603914.8000000007</v>
      </c>
      <c r="J1149" s="513">
        <f>SUM(J1150,J1152,J1154,J1156,J1158,J1160,J1162,J1164,J1166,J1168,J1170)</f>
        <v>5625199.8000000007</v>
      </c>
    </row>
    <row r="1150" spans="1:10" ht="25.5" hidden="1">
      <c r="A1150" s="359"/>
      <c r="B1150" s="373"/>
      <c r="C1150" s="371"/>
      <c r="D1150" s="421"/>
      <c r="E1150" s="406" t="s">
        <v>1140</v>
      </c>
      <c r="F1150" s="407">
        <f>+F1151</f>
        <v>306837.90000000002</v>
      </c>
      <c r="G1150" s="506">
        <f>+G1151</f>
        <v>668844.19999999995</v>
      </c>
      <c r="H1150" s="506">
        <f>+H1151</f>
        <v>1168120.8</v>
      </c>
      <c r="I1150" s="506">
        <f>+I1151</f>
        <v>1189405.8</v>
      </c>
      <c r="J1150" s="506">
        <f>+J1151</f>
        <v>1189405.8</v>
      </c>
    </row>
    <row r="1151" spans="1:10" hidden="1">
      <c r="A1151" s="359"/>
      <c r="B1151" s="373"/>
      <c r="C1151" s="371"/>
      <c r="D1151" s="385">
        <v>4729</v>
      </c>
      <c r="E1151" s="385" t="s">
        <v>1125</v>
      </c>
      <c r="F1151" s="463">
        <v>306837.90000000002</v>
      </c>
      <c r="G1151" s="508">
        <v>668844.19999999995</v>
      </c>
      <c r="H1151" s="508">
        <v>1168120.8</v>
      </c>
      <c r="I1151" s="508">
        <v>1189405.8</v>
      </c>
      <c r="J1151" s="508">
        <v>1189405.8</v>
      </c>
    </row>
    <row r="1152" spans="1:10" hidden="1">
      <c r="A1152" s="359"/>
      <c r="B1152" s="373"/>
      <c r="C1152" s="371"/>
      <c r="D1152" s="421"/>
      <c r="E1152" s="406" t="s">
        <v>1141</v>
      </c>
      <c r="F1152" s="407">
        <f>+F1153</f>
        <v>13677.1</v>
      </c>
      <c r="G1152" s="506">
        <f>+G1153</f>
        <v>78643.5</v>
      </c>
      <c r="H1152" s="506">
        <f>+H1153</f>
        <v>140481</v>
      </c>
      <c r="I1152" s="506">
        <f>+I1153</f>
        <v>148995</v>
      </c>
      <c r="J1152" s="506">
        <f>+J1153</f>
        <v>170280</v>
      </c>
    </row>
    <row r="1153" spans="1:10" hidden="1">
      <c r="A1153" s="359"/>
      <c r="B1153" s="373"/>
      <c r="C1153" s="371"/>
      <c r="D1153" s="385">
        <v>4729</v>
      </c>
      <c r="E1153" s="385" t="s">
        <v>1125</v>
      </c>
      <c r="F1153" s="463">
        <v>13677.1</v>
      </c>
      <c r="G1153" s="508">
        <v>78643.5</v>
      </c>
      <c r="H1153" s="508">
        <v>140481</v>
      </c>
      <c r="I1153" s="508">
        <v>148995</v>
      </c>
      <c r="J1153" s="508">
        <v>170280</v>
      </c>
    </row>
    <row r="1154" spans="1:10" hidden="1">
      <c r="A1154" s="359"/>
      <c r="B1154" s="373"/>
      <c r="C1154" s="371"/>
      <c r="D1154" s="421"/>
      <c r="E1154" s="406" t="s">
        <v>1142</v>
      </c>
      <c r="F1154" s="407">
        <f>+F1155</f>
        <v>117632.4</v>
      </c>
      <c r="G1154" s="506">
        <f>+G1155</f>
        <v>140997.9</v>
      </c>
      <c r="H1154" s="506">
        <f>+H1155</f>
        <v>1048073.4</v>
      </c>
      <c r="I1154" s="506">
        <f>+I1155</f>
        <v>1082129.3999999999</v>
      </c>
      <c r="J1154" s="506">
        <f>+J1155</f>
        <v>1082129.3999999999</v>
      </c>
    </row>
    <row r="1155" spans="1:10" hidden="1">
      <c r="A1155" s="359"/>
      <c r="B1155" s="373"/>
      <c r="C1155" s="371"/>
      <c r="D1155" s="385">
        <v>4729</v>
      </c>
      <c r="E1155" s="385" t="s">
        <v>1125</v>
      </c>
      <c r="F1155" s="463">
        <v>117632.4</v>
      </c>
      <c r="G1155" s="508">
        <v>140997.9</v>
      </c>
      <c r="H1155" s="508">
        <v>1048073.4</v>
      </c>
      <c r="I1155" s="508">
        <v>1082129.3999999999</v>
      </c>
      <c r="J1155" s="508">
        <v>1082129.3999999999</v>
      </c>
    </row>
    <row r="1156" spans="1:10" hidden="1">
      <c r="A1156" s="359"/>
      <c r="B1156" s="373"/>
      <c r="C1156" s="371"/>
      <c r="D1156" s="421"/>
      <c r="E1156" s="406" t="s">
        <v>1143</v>
      </c>
      <c r="F1156" s="407">
        <f>+F1157</f>
        <v>44840.9</v>
      </c>
      <c r="G1156" s="506">
        <f>+G1157</f>
        <v>139458.29999999999</v>
      </c>
      <c r="H1156" s="506">
        <f>+H1157</f>
        <v>519779.7</v>
      </c>
      <c r="I1156" s="506">
        <f>+I1157</f>
        <v>519779.7</v>
      </c>
      <c r="J1156" s="506">
        <f>+J1157</f>
        <v>519779.7</v>
      </c>
    </row>
    <row r="1157" spans="1:10" hidden="1">
      <c r="A1157" s="359"/>
      <c r="B1157" s="373"/>
      <c r="C1157" s="371"/>
      <c r="D1157" s="385">
        <v>4729</v>
      </c>
      <c r="E1157" s="385" t="s">
        <v>1125</v>
      </c>
      <c r="F1157" s="463">
        <v>44840.9</v>
      </c>
      <c r="G1157" s="508">
        <v>139458.29999999999</v>
      </c>
      <c r="H1157" s="508">
        <v>519779.7</v>
      </c>
      <c r="I1157" s="508">
        <v>519779.7</v>
      </c>
      <c r="J1157" s="508">
        <v>519779.7</v>
      </c>
    </row>
    <row r="1158" spans="1:10" hidden="1">
      <c r="A1158" s="359"/>
      <c r="B1158" s="373"/>
      <c r="C1158" s="371"/>
      <c r="D1158" s="421"/>
      <c r="E1158" s="406" t="s">
        <v>1144</v>
      </c>
      <c r="F1158" s="407">
        <f>+F1159</f>
        <v>0</v>
      </c>
      <c r="G1158" s="506">
        <f>+G1159</f>
        <v>111067.8</v>
      </c>
      <c r="H1158" s="506">
        <f>+H1159</f>
        <v>331194.59999999998</v>
      </c>
      <c r="I1158" s="506">
        <f>+I1159</f>
        <v>331194.59999999998</v>
      </c>
      <c r="J1158" s="506">
        <f>+J1159</f>
        <v>331194.59999999998</v>
      </c>
    </row>
    <row r="1159" spans="1:10" hidden="1">
      <c r="A1159" s="359"/>
      <c r="B1159" s="373"/>
      <c r="C1159" s="371"/>
      <c r="D1159" s="385">
        <v>4729</v>
      </c>
      <c r="E1159" s="385" t="s">
        <v>1125</v>
      </c>
      <c r="F1159" s="463">
        <v>0</v>
      </c>
      <c r="G1159" s="508">
        <v>111067.8</v>
      </c>
      <c r="H1159" s="508">
        <v>331194.59999999998</v>
      </c>
      <c r="I1159" s="508">
        <v>331194.59999999998</v>
      </c>
      <c r="J1159" s="508">
        <v>331194.59999999998</v>
      </c>
    </row>
    <row r="1160" spans="1:10" hidden="1">
      <c r="A1160" s="359"/>
      <c r="B1160" s="373"/>
      <c r="C1160" s="371"/>
      <c r="D1160" s="421"/>
      <c r="E1160" s="406" t="s">
        <v>1145</v>
      </c>
      <c r="F1160" s="407">
        <f>+F1161</f>
        <v>45975.6</v>
      </c>
      <c r="G1160" s="506">
        <f>+G1161</f>
        <v>126248.4</v>
      </c>
      <c r="H1160" s="506">
        <f>+H1161</f>
        <v>225195.3</v>
      </c>
      <c r="I1160" s="506">
        <f>+I1161</f>
        <v>246480.3</v>
      </c>
      <c r="J1160" s="506">
        <f>+J1161</f>
        <v>246480.3</v>
      </c>
    </row>
    <row r="1161" spans="1:10" hidden="1">
      <c r="A1161" s="359"/>
      <c r="B1161" s="373"/>
      <c r="C1161" s="371"/>
      <c r="D1161" s="385">
        <v>4729</v>
      </c>
      <c r="E1161" s="385" t="s">
        <v>1125</v>
      </c>
      <c r="F1161" s="463">
        <v>45975.6</v>
      </c>
      <c r="G1161" s="508">
        <v>126248.4</v>
      </c>
      <c r="H1161" s="508">
        <v>225195.3</v>
      </c>
      <c r="I1161" s="508">
        <v>246480.3</v>
      </c>
      <c r="J1161" s="508">
        <v>246480.3</v>
      </c>
    </row>
    <row r="1162" spans="1:10" hidden="1">
      <c r="A1162" s="359"/>
      <c r="B1162" s="373"/>
      <c r="C1162" s="371"/>
      <c r="D1162" s="421"/>
      <c r="E1162" s="406" t="s">
        <v>1146</v>
      </c>
      <c r="F1162" s="407">
        <f>+F1163</f>
        <v>58277.599999999999</v>
      </c>
      <c r="G1162" s="506">
        <f>+G1163</f>
        <v>170743.3</v>
      </c>
      <c r="H1162" s="506">
        <f>+H1163</f>
        <v>710493.29999999993</v>
      </c>
      <c r="I1162" s="506">
        <f>+I1163</f>
        <v>710493.29999999993</v>
      </c>
      <c r="J1162" s="506">
        <f>+J1163</f>
        <v>710493.29999999993</v>
      </c>
    </row>
    <row r="1163" spans="1:10" hidden="1">
      <c r="A1163" s="359"/>
      <c r="B1163" s="373"/>
      <c r="C1163" s="371"/>
      <c r="D1163" s="385">
        <v>4729</v>
      </c>
      <c r="E1163" s="385" t="s">
        <v>1125</v>
      </c>
      <c r="F1163" s="463">
        <v>58277.599999999999</v>
      </c>
      <c r="G1163" s="508">
        <v>170743.3</v>
      </c>
      <c r="H1163" s="508">
        <v>710493.29999999993</v>
      </c>
      <c r="I1163" s="508">
        <v>710493.29999999993</v>
      </c>
      <c r="J1163" s="508">
        <v>710493.29999999993</v>
      </c>
    </row>
    <row r="1164" spans="1:10" hidden="1">
      <c r="A1164" s="359"/>
      <c r="B1164" s="373"/>
      <c r="C1164" s="371"/>
      <c r="D1164" s="421"/>
      <c r="E1164" s="406" t="s">
        <v>1147</v>
      </c>
      <c r="F1164" s="407">
        <f>+F1165</f>
        <v>18914.900000000001</v>
      </c>
      <c r="G1164" s="506">
        <f>+G1165</f>
        <v>110390.39999999999</v>
      </c>
      <c r="H1164" s="506">
        <f>+H1165</f>
        <v>285219</v>
      </c>
      <c r="I1164" s="506">
        <f>+I1165</f>
        <v>285219</v>
      </c>
      <c r="J1164" s="506">
        <f>+J1165</f>
        <v>285219</v>
      </c>
    </row>
    <row r="1165" spans="1:10" hidden="1">
      <c r="A1165" s="359"/>
      <c r="B1165" s="373"/>
      <c r="C1165" s="371"/>
      <c r="D1165" s="385">
        <v>4729</v>
      </c>
      <c r="E1165" s="385" t="s">
        <v>1125</v>
      </c>
      <c r="F1165" s="463">
        <v>18914.900000000001</v>
      </c>
      <c r="G1165" s="508">
        <v>110390.39999999999</v>
      </c>
      <c r="H1165" s="508">
        <v>285219</v>
      </c>
      <c r="I1165" s="508">
        <v>285219</v>
      </c>
      <c r="J1165" s="508">
        <v>285219</v>
      </c>
    </row>
    <row r="1166" spans="1:10" hidden="1">
      <c r="A1166" s="359"/>
      <c r="B1166" s="373"/>
      <c r="C1166" s="371"/>
      <c r="D1166" s="421"/>
      <c r="E1166" s="406" t="s">
        <v>1148</v>
      </c>
      <c r="F1166" s="407">
        <f>+F1167</f>
        <v>120891.7</v>
      </c>
      <c r="G1166" s="506">
        <f>+G1167</f>
        <v>155901.4</v>
      </c>
      <c r="H1166" s="506">
        <f>+H1167</f>
        <v>575972.1</v>
      </c>
      <c r="I1166" s="506">
        <f>+I1167</f>
        <v>575972.1</v>
      </c>
      <c r="J1166" s="506">
        <f>+J1167</f>
        <v>575972.1</v>
      </c>
    </row>
    <row r="1167" spans="1:10" hidden="1">
      <c r="A1167" s="359"/>
      <c r="B1167" s="373"/>
      <c r="C1167" s="371"/>
      <c r="D1167" s="385">
        <v>4729</v>
      </c>
      <c r="E1167" s="385" t="s">
        <v>1125</v>
      </c>
      <c r="F1167" s="463">
        <v>120891.7</v>
      </c>
      <c r="G1167" s="508">
        <v>155901.4</v>
      </c>
      <c r="H1167" s="508">
        <v>575972.1</v>
      </c>
      <c r="I1167" s="508">
        <v>575972.1</v>
      </c>
      <c r="J1167" s="508">
        <v>575972.1</v>
      </c>
    </row>
    <row r="1168" spans="1:10" hidden="1">
      <c r="A1168" s="359"/>
      <c r="B1168" s="373"/>
      <c r="C1168" s="371"/>
      <c r="D1168" s="421"/>
      <c r="E1168" s="406" t="s">
        <v>1149</v>
      </c>
      <c r="F1168" s="407">
        <f>+F1169</f>
        <v>37177.800000000003</v>
      </c>
      <c r="G1168" s="506">
        <f>+G1169</f>
        <v>41323.300000000003</v>
      </c>
      <c r="H1168" s="506">
        <f>+H1169</f>
        <v>172834.19999999998</v>
      </c>
      <c r="I1168" s="506">
        <f>+I1169</f>
        <v>172834.19999999998</v>
      </c>
      <c r="J1168" s="506">
        <f>+J1169</f>
        <v>172834.19999999998</v>
      </c>
    </row>
    <row r="1169" spans="1:10" hidden="1">
      <c r="A1169" s="359"/>
      <c r="B1169" s="373"/>
      <c r="C1169" s="371"/>
      <c r="D1169" s="385">
        <v>4729</v>
      </c>
      <c r="E1169" s="385" t="s">
        <v>1125</v>
      </c>
      <c r="F1169" s="463">
        <v>37177.800000000003</v>
      </c>
      <c r="G1169" s="508">
        <v>41323.300000000003</v>
      </c>
      <c r="H1169" s="508">
        <v>172834.19999999998</v>
      </c>
      <c r="I1169" s="508">
        <v>172834.19999999998</v>
      </c>
      <c r="J1169" s="508">
        <v>172834.19999999998</v>
      </c>
    </row>
    <row r="1170" spans="1:10" hidden="1">
      <c r="A1170" s="359"/>
      <c r="B1170" s="373"/>
      <c r="C1170" s="371"/>
      <c r="D1170" s="421"/>
      <c r="E1170" s="406" t="s">
        <v>1150</v>
      </c>
      <c r="F1170" s="407">
        <f>+F1171</f>
        <v>18985.099999999999</v>
      </c>
      <c r="G1170" s="506">
        <f>+G1171</f>
        <v>95579.3</v>
      </c>
      <c r="H1170" s="506">
        <f>+H1171</f>
        <v>341411.39999999997</v>
      </c>
      <c r="I1170" s="506">
        <f>+I1171</f>
        <v>341411.39999999997</v>
      </c>
      <c r="J1170" s="506">
        <f>+J1171</f>
        <v>341411.39999999997</v>
      </c>
    </row>
    <row r="1171" spans="1:10" hidden="1">
      <c r="A1171" s="359"/>
      <c r="B1171" s="373"/>
      <c r="C1171" s="371"/>
      <c r="D1171" s="385">
        <v>4729</v>
      </c>
      <c r="E1171" s="385" t="s">
        <v>1125</v>
      </c>
      <c r="F1171" s="463">
        <v>18985.099999999999</v>
      </c>
      <c r="G1171" s="508">
        <v>95579.3</v>
      </c>
      <c r="H1171" s="508">
        <v>341411.39999999997</v>
      </c>
      <c r="I1171" s="508">
        <v>341411.39999999997</v>
      </c>
      <c r="J1171" s="508">
        <v>341411.39999999997</v>
      </c>
    </row>
    <row r="1172" spans="1:10" s="370" customFormat="1" ht="63.75">
      <c r="A1172" s="365"/>
      <c r="B1172" s="427">
        <v>1238</v>
      </c>
      <c r="C1172" s="431" t="s">
        <v>708</v>
      </c>
      <c r="D1172" s="432"/>
      <c r="E1172" s="402" t="s">
        <v>709</v>
      </c>
      <c r="F1172" s="425">
        <f>SUM(F1173,F1175,F1177,F1179,F1181,F1183,F1185,F1187,F1189,F1191,F1193)</f>
        <v>0</v>
      </c>
      <c r="G1172" s="513">
        <f>SUM(G1173,G1175,G1177,G1179,G1181,G1183,G1185,G1187,G1189,G1191,G1193)</f>
        <v>40680</v>
      </c>
      <c r="H1172" s="513">
        <f>SUM(H1173,H1175,H1177,H1179,H1181,H1183,H1185,H1187,H1189,H1191,H1193)</f>
        <v>58320</v>
      </c>
      <c r="I1172" s="513">
        <f>SUM(I1173,I1175,I1177,I1179,I1181,I1183,I1185,I1187,I1189,I1191,I1193)</f>
        <v>79200</v>
      </c>
      <c r="J1172" s="513">
        <f>SUM(J1173,J1175,J1177,J1179,J1181,J1183,J1185,J1187,J1189,J1191,J1193)</f>
        <v>100800</v>
      </c>
    </row>
    <row r="1173" spans="1:10" ht="25.5" hidden="1">
      <c r="A1173" s="359"/>
      <c r="B1173" s="373"/>
      <c r="C1173" s="371"/>
      <c r="D1173" s="421"/>
      <c r="E1173" s="406" t="s">
        <v>1140</v>
      </c>
      <c r="F1173" s="407">
        <f>+F1174</f>
        <v>0</v>
      </c>
      <c r="G1173" s="506">
        <f>+G1174</f>
        <v>8280</v>
      </c>
      <c r="H1173" s="506">
        <f>+H1174</f>
        <v>10800</v>
      </c>
      <c r="I1173" s="506">
        <f>+I1174</f>
        <v>14400</v>
      </c>
      <c r="J1173" s="506">
        <f>+J1174</f>
        <v>18000</v>
      </c>
    </row>
    <row r="1174" spans="1:10" hidden="1">
      <c r="A1174" s="359"/>
      <c r="B1174" s="373"/>
      <c r="C1174" s="371"/>
      <c r="D1174" s="385">
        <v>4729</v>
      </c>
      <c r="E1174" s="385" t="s">
        <v>1125</v>
      </c>
      <c r="F1174" s="463">
        <v>0</v>
      </c>
      <c r="G1174" s="508">
        <v>8280</v>
      </c>
      <c r="H1174" s="508">
        <v>10800</v>
      </c>
      <c r="I1174" s="508">
        <v>14400</v>
      </c>
      <c r="J1174" s="508">
        <v>18000</v>
      </c>
    </row>
    <row r="1175" spans="1:10" hidden="1">
      <c r="A1175" s="359"/>
      <c r="B1175" s="373"/>
      <c r="C1175" s="371"/>
      <c r="D1175" s="421"/>
      <c r="E1175" s="406" t="s">
        <v>1141</v>
      </c>
      <c r="F1175" s="407">
        <f>+F1176</f>
        <v>0</v>
      </c>
      <c r="G1175" s="506">
        <f>+G1176</f>
        <v>2520</v>
      </c>
      <c r="H1175" s="506">
        <f>+H1176</f>
        <v>3600</v>
      </c>
      <c r="I1175" s="506">
        <f>+I1176</f>
        <v>5400</v>
      </c>
      <c r="J1175" s="506">
        <f>+J1176</f>
        <v>7200</v>
      </c>
    </row>
    <row r="1176" spans="1:10" hidden="1">
      <c r="A1176" s="359"/>
      <c r="B1176" s="373"/>
      <c r="C1176" s="371"/>
      <c r="D1176" s="385">
        <v>4729</v>
      </c>
      <c r="E1176" s="385" t="s">
        <v>1125</v>
      </c>
      <c r="F1176" s="463">
        <v>0</v>
      </c>
      <c r="G1176" s="508">
        <v>2520</v>
      </c>
      <c r="H1176" s="508">
        <v>3600</v>
      </c>
      <c r="I1176" s="508">
        <v>5400</v>
      </c>
      <c r="J1176" s="508">
        <v>7200</v>
      </c>
    </row>
    <row r="1177" spans="1:10" hidden="1">
      <c r="A1177" s="359"/>
      <c r="B1177" s="373"/>
      <c r="C1177" s="371"/>
      <c r="D1177" s="421"/>
      <c r="E1177" s="406" t="s">
        <v>1142</v>
      </c>
      <c r="F1177" s="407">
        <f>+F1178</f>
        <v>0</v>
      </c>
      <c r="G1177" s="506">
        <f>+G1178</f>
        <v>6480</v>
      </c>
      <c r="H1177" s="506">
        <f>+H1178</f>
        <v>7200</v>
      </c>
      <c r="I1177" s="506">
        <f>+I1178</f>
        <v>9000</v>
      </c>
      <c r="J1177" s="506">
        <f>+J1178</f>
        <v>10800</v>
      </c>
    </row>
    <row r="1178" spans="1:10" hidden="1">
      <c r="A1178" s="359"/>
      <c r="B1178" s="373"/>
      <c r="C1178" s="371"/>
      <c r="D1178" s="385">
        <v>4729</v>
      </c>
      <c r="E1178" s="385" t="s">
        <v>1125</v>
      </c>
      <c r="F1178" s="463">
        <v>0</v>
      </c>
      <c r="G1178" s="508">
        <v>6480</v>
      </c>
      <c r="H1178" s="508">
        <v>7200</v>
      </c>
      <c r="I1178" s="508">
        <v>9000</v>
      </c>
      <c r="J1178" s="508">
        <v>10800</v>
      </c>
    </row>
    <row r="1179" spans="1:10" hidden="1">
      <c r="A1179" s="359"/>
      <c r="B1179" s="373"/>
      <c r="C1179" s="371"/>
      <c r="D1179" s="421"/>
      <c r="E1179" s="406" t="s">
        <v>1143</v>
      </c>
      <c r="F1179" s="407">
        <f>+F1180</f>
        <v>0</v>
      </c>
      <c r="G1179" s="506">
        <f>+G1180</f>
        <v>3240</v>
      </c>
      <c r="H1179" s="506">
        <f>+H1180</f>
        <v>6120</v>
      </c>
      <c r="I1179" s="506">
        <f>+I1180</f>
        <v>7200</v>
      </c>
      <c r="J1179" s="506">
        <f>+J1180</f>
        <v>9000</v>
      </c>
    </row>
    <row r="1180" spans="1:10" hidden="1">
      <c r="A1180" s="359"/>
      <c r="B1180" s="373"/>
      <c r="C1180" s="371"/>
      <c r="D1180" s="385">
        <v>4729</v>
      </c>
      <c r="E1180" s="385" t="s">
        <v>1125</v>
      </c>
      <c r="F1180" s="463">
        <v>0</v>
      </c>
      <c r="G1180" s="508">
        <v>3240</v>
      </c>
      <c r="H1180" s="508">
        <v>6120</v>
      </c>
      <c r="I1180" s="508">
        <v>7200</v>
      </c>
      <c r="J1180" s="508">
        <v>9000</v>
      </c>
    </row>
    <row r="1181" spans="1:10" hidden="1">
      <c r="A1181" s="359"/>
      <c r="B1181" s="373"/>
      <c r="C1181" s="371"/>
      <c r="D1181" s="421"/>
      <c r="E1181" s="406" t="s">
        <v>1144</v>
      </c>
      <c r="F1181" s="407">
        <f>+F1182</f>
        <v>0</v>
      </c>
      <c r="G1181" s="506">
        <f>+G1182</f>
        <v>1800</v>
      </c>
      <c r="H1181" s="506">
        <f>+H1182</f>
        <v>3600</v>
      </c>
      <c r="I1181" s="506">
        <f>+I1182</f>
        <v>5400</v>
      </c>
      <c r="J1181" s="506">
        <f>+J1182</f>
        <v>7200</v>
      </c>
    </row>
    <row r="1182" spans="1:10" hidden="1">
      <c r="A1182" s="359"/>
      <c r="B1182" s="373"/>
      <c r="C1182" s="371"/>
      <c r="D1182" s="385">
        <v>4729</v>
      </c>
      <c r="E1182" s="385" t="s">
        <v>1125</v>
      </c>
      <c r="F1182" s="463">
        <v>0</v>
      </c>
      <c r="G1182" s="508">
        <v>1800</v>
      </c>
      <c r="H1182" s="508">
        <v>3600</v>
      </c>
      <c r="I1182" s="508">
        <v>5400</v>
      </c>
      <c r="J1182" s="508">
        <v>7200</v>
      </c>
    </row>
    <row r="1183" spans="1:10" hidden="1">
      <c r="A1183" s="359"/>
      <c r="B1183" s="373"/>
      <c r="C1183" s="371"/>
      <c r="D1183" s="421"/>
      <c r="E1183" s="406" t="s">
        <v>1145</v>
      </c>
      <c r="F1183" s="407">
        <f>+F1184</f>
        <v>0</v>
      </c>
      <c r="G1183" s="506">
        <f>+G1184</f>
        <v>2880</v>
      </c>
      <c r="H1183" s="506">
        <f>+H1184</f>
        <v>5400</v>
      </c>
      <c r="I1183" s="506">
        <f>+I1184</f>
        <v>7200</v>
      </c>
      <c r="J1183" s="506">
        <f>+J1184</f>
        <v>9000</v>
      </c>
    </row>
    <row r="1184" spans="1:10" hidden="1">
      <c r="A1184" s="359"/>
      <c r="B1184" s="373"/>
      <c r="C1184" s="371"/>
      <c r="D1184" s="385">
        <v>4729</v>
      </c>
      <c r="E1184" s="385" t="s">
        <v>1125</v>
      </c>
      <c r="F1184" s="463">
        <v>0</v>
      </c>
      <c r="G1184" s="508">
        <v>2880</v>
      </c>
      <c r="H1184" s="508">
        <v>5400</v>
      </c>
      <c r="I1184" s="508">
        <v>7200</v>
      </c>
      <c r="J1184" s="508">
        <v>9000</v>
      </c>
    </row>
    <row r="1185" spans="1:10" hidden="1">
      <c r="A1185" s="359"/>
      <c r="B1185" s="373"/>
      <c r="C1185" s="371"/>
      <c r="D1185" s="421"/>
      <c r="E1185" s="406" t="s">
        <v>1146</v>
      </c>
      <c r="F1185" s="407">
        <f>+F1186</f>
        <v>0</v>
      </c>
      <c r="G1185" s="506">
        <f>+G1186</f>
        <v>3600</v>
      </c>
      <c r="H1185" s="506">
        <f>+H1186</f>
        <v>5400</v>
      </c>
      <c r="I1185" s="506">
        <f>+I1186</f>
        <v>7200</v>
      </c>
      <c r="J1185" s="506">
        <f>+J1186</f>
        <v>9000</v>
      </c>
    </row>
    <row r="1186" spans="1:10" hidden="1">
      <c r="A1186" s="359"/>
      <c r="B1186" s="373"/>
      <c r="C1186" s="371"/>
      <c r="D1186" s="385">
        <v>4729</v>
      </c>
      <c r="E1186" s="385" t="s">
        <v>1125</v>
      </c>
      <c r="F1186" s="463">
        <v>0</v>
      </c>
      <c r="G1186" s="508">
        <v>3600</v>
      </c>
      <c r="H1186" s="508">
        <v>5400</v>
      </c>
      <c r="I1186" s="508">
        <v>7200</v>
      </c>
      <c r="J1186" s="508">
        <v>9000</v>
      </c>
    </row>
    <row r="1187" spans="1:10" hidden="1">
      <c r="A1187" s="359"/>
      <c r="B1187" s="373"/>
      <c r="C1187" s="371"/>
      <c r="D1187" s="421"/>
      <c r="E1187" s="406" t="s">
        <v>1147</v>
      </c>
      <c r="F1187" s="407">
        <f>+F1188</f>
        <v>0</v>
      </c>
      <c r="G1187" s="506">
        <f>+G1188</f>
        <v>2880</v>
      </c>
      <c r="H1187" s="506">
        <f>+H1188</f>
        <v>5400</v>
      </c>
      <c r="I1187" s="506">
        <f>+I1188</f>
        <v>7200</v>
      </c>
      <c r="J1187" s="506">
        <f>+J1188</f>
        <v>9000</v>
      </c>
    </row>
    <row r="1188" spans="1:10" hidden="1">
      <c r="A1188" s="359"/>
      <c r="B1188" s="373"/>
      <c r="C1188" s="371"/>
      <c r="D1188" s="385">
        <v>4729</v>
      </c>
      <c r="E1188" s="385" t="s">
        <v>1125</v>
      </c>
      <c r="F1188" s="463">
        <v>0</v>
      </c>
      <c r="G1188" s="508">
        <v>2880</v>
      </c>
      <c r="H1188" s="508">
        <v>5400</v>
      </c>
      <c r="I1188" s="508">
        <v>7200</v>
      </c>
      <c r="J1188" s="508">
        <v>9000</v>
      </c>
    </row>
    <row r="1189" spans="1:10" hidden="1">
      <c r="A1189" s="359"/>
      <c r="B1189" s="373"/>
      <c r="C1189" s="371"/>
      <c r="D1189" s="421"/>
      <c r="E1189" s="406" t="s">
        <v>1148</v>
      </c>
      <c r="F1189" s="407">
        <f>+F1190</f>
        <v>0</v>
      </c>
      <c r="G1189" s="506">
        <f>+G1190</f>
        <v>3600</v>
      </c>
      <c r="H1189" s="506">
        <f>+H1190</f>
        <v>3600</v>
      </c>
      <c r="I1189" s="506">
        <f>+I1190</f>
        <v>5400</v>
      </c>
      <c r="J1189" s="506">
        <f>+J1190</f>
        <v>7200</v>
      </c>
    </row>
    <row r="1190" spans="1:10" hidden="1">
      <c r="A1190" s="359"/>
      <c r="B1190" s="373"/>
      <c r="C1190" s="371"/>
      <c r="D1190" s="385">
        <v>4729</v>
      </c>
      <c r="E1190" s="385" t="s">
        <v>1125</v>
      </c>
      <c r="F1190" s="463">
        <v>0</v>
      </c>
      <c r="G1190" s="508">
        <v>3600</v>
      </c>
      <c r="H1190" s="508">
        <v>3600</v>
      </c>
      <c r="I1190" s="508">
        <v>5400</v>
      </c>
      <c r="J1190" s="508">
        <v>7200</v>
      </c>
    </row>
    <row r="1191" spans="1:10" hidden="1">
      <c r="A1191" s="359"/>
      <c r="B1191" s="373"/>
      <c r="C1191" s="371"/>
      <c r="D1191" s="421"/>
      <c r="E1191" s="406" t="s">
        <v>1149</v>
      </c>
      <c r="F1191" s="407">
        <f>+F1192</f>
        <v>0</v>
      </c>
      <c r="G1191" s="506">
        <f>+G1192</f>
        <v>1800</v>
      </c>
      <c r="H1191" s="506">
        <f>+H1192</f>
        <v>3600</v>
      </c>
      <c r="I1191" s="506">
        <f>+I1192</f>
        <v>5400</v>
      </c>
      <c r="J1191" s="506">
        <f>+J1192</f>
        <v>7200</v>
      </c>
    </row>
    <row r="1192" spans="1:10" hidden="1">
      <c r="A1192" s="359"/>
      <c r="B1192" s="373"/>
      <c r="C1192" s="371"/>
      <c r="D1192" s="385">
        <v>4729</v>
      </c>
      <c r="E1192" s="385" t="s">
        <v>1125</v>
      </c>
      <c r="F1192" s="463">
        <v>0</v>
      </c>
      <c r="G1192" s="508">
        <v>1800</v>
      </c>
      <c r="H1192" s="508">
        <v>3600</v>
      </c>
      <c r="I1192" s="508">
        <v>5400</v>
      </c>
      <c r="J1192" s="508">
        <v>7200</v>
      </c>
    </row>
    <row r="1193" spans="1:10" hidden="1">
      <c r="A1193" s="359"/>
      <c r="B1193" s="373"/>
      <c r="C1193" s="371"/>
      <c r="D1193" s="421"/>
      <c r="E1193" s="406" t="s">
        <v>1150</v>
      </c>
      <c r="F1193" s="407">
        <f>+F1194</f>
        <v>0</v>
      </c>
      <c r="G1193" s="506">
        <f>+G1194</f>
        <v>3600</v>
      </c>
      <c r="H1193" s="506">
        <f>+H1194</f>
        <v>3600</v>
      </c>
      <c r="I1193" s="506">
        <f>+I1194</f>
        <v>5400</v>
      </c>
      <c r="J1193" s="506">
        <f>+J1194</f>
        <v>7200</v>
      </c>
    </row>
    <row r="1194" spans="1:10" hidden="1">
      <c r="A1194" s="359"/>
      <c r="B1194" s="373"/>
      <c r="C1194" s="371"/>
      <c r="D1194" s="385">
        <v>4729</v>
      </c>
      <c r="E1194" s="385" t="s">
        <v>1125</v>
      </c>
      <c r="F1194" s="463">
        <v>0</v>
      </c>
      <c r="G1194" s="508">
        <v>3600</v>
      </c>
      <c r="H1194" s="508">
        <v>3600</v>
      </c>
      <c r="I1194" s="508">
        <v>5400</v>
      </c>
      <c r="J1194" s="508">
        <v>7200</v>
      </c>
    </row>
    <row r="1195" spans="1:10" ht="38.25">
      <c r="A1195" s="359"/>
      <c r="B1195" s="427">
        <v>1238</v>
      </c>
      <c r="C1195" s="431" t="s">
        <v>465</v>
      </c>
      <c r="D1195" s="432"/>
      <c r="E1195" s="402" t="s">
        <v>1222</v>
      </c>
      <c r="F1195" s="426" t="e">
        <f>SUM(F1196,#REF!,#REF!,#REF!,#REF!,#REF!,#REF!,#REF!,#REF!,#REF!,#REF!,#REF!)</f>
        <v>#REF!</v>
      </c>
      <c r="G1195" s="514">
        <f>+G1196</f>
        <v>0</v>
      </c>
      <c r="H1195" s="514">
        <f t="shared" ref="H1195:J1195" si="144">+H1196</f>
        <v>60920</v>
      </c>
      <c r="I1195" s="514">
        <f t="shared" si="144"/>
        <v>71347</v>
      </c>
      <c r="J1195" s="514">
        <f t="shared" si="144"/>
        <v>71347</v>
      </c>
    </row>
    <row r="1196" spans="1:10" ht="25.5">
      <c r="A1196" s="359"/>
      <c r="B1196" s="373"/>
      <c r="C1196" s="492"/>
      <c r="D1196" s="421"/>
      <c r="E1196" s="406" t="s">
        <v>1140</v>
      </c>
      <c r="F1196" s="407" t="e">
        <f>+#REF!</f>
        <v>#REF!</v>
      </c>
      <c r="G1196" s="517">
        <v>0</v>
      </c>
      <c r="H1196" s="517">
        <v>60920</v>
      </c>
      <c r="I1196" s="517">
        <v>71347</v>
      </c>
      <c r="J1196" s="517">
        <v>71347</v>
      </c>
    </row>
  </sheetData>
  <autoFilter ref="A8:N1196">
    <filterColumn colId="2" showButton="0"/>
    <filterColumn colId="3" showButton="0"/>
  </autoFilter>
  <mergeCells count="30">
    <mergeCell ref="C731:E731"/>
    <mergeCell ref="C790:E790"/>
    <mergeCell ref="C1024:E1024"/>
    <mergeCell ref="C1098:E1098"/>
    <mergeCell ref="C1066:E1066"/>
    <mergeCell ref="C830:E830"/>
    <mergeCell ref="C850:E850"/>
    <mergeCell ref="C936:E936"/>
    <mergeCell ref="C946:E946"/>
    <mergeCell ref="C982:E982"/>
    <mergeCell ref="C1057:E1057"/>
    <mergeCell ref="C8:E8"/>
    <mergeCell ref="C610:E610"/>
    <mergeCell ref="C660:E660"/>
    <mergeCell ref="C679:E679"/>
    <mergeCell ref="C242:E242"/>
    <mergeCell ref="C9:E9"/>
    <mergeCell ref="C95:E95"/>
    <mergeCell ref="C316:E316"/>
    <mergeCell ref="C335:E335"/>
    <mergeCell ref="C352:E352"/>
    <mergeCell ref="C7:E7"/>
    <mergeCell ref="B1:J1"/>
    <mergeCell ref="B2:J2"/>
    <mergeCell ref="B5:B6"/>
    <mergeCell ref="C5:C6"/>
    <mergeCell ref="E5:E6"/>
    <mergeCell ref="F5:F6"/>
    <mergeCell ref="G5:G6"/>
    <mergeCell ref="H5:J5"/>
  </mergeCells>
  <pageMargins left="0.16" right="0.16" top="0.38" bottom="0.27" header="0.24" footer="0.16"/>
  <pageSetup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981"/>
  <sheetViews>
    <sheetView zoomScale="85" zoomScaleNormal="85" workbookViewId="0">
      <pane ySplit="6" topLeftCell="A688" activePane="bottomLeft" state="frozen"/>
      <selection pane="bottomLeft" activeCell="C674" sqref="C674"/>
    </sheetView>
  </sheetViews>
  <sheetFormatPr defaultColWidth="9.140625" defaultRowHeight="16.5"/>
  <cols>
    <col min="1" max="1" width="32.5703125" style="302" bestFit="1" customWidth="1"/>
    <col min="2" max="2" width="35.140625" style="290" customWidth="1"/>
    <col min="3" max="3" width="41.140625" style="220" customWidth="1"/>
    <col min="4" max="4" width="25" style="173" customWidth="1"/>
    <col min="5" max="5" width="21.7109375" style="173" customWidth="1"/>
    <col min="6" max="6" width="26.5703125" style="173" customWidth="1"/>
    <col min="7" max="7" width="23.5703125" style="173" customWidth="1"/>
    <col min="8" max="8" width="26.28515625" style="173" customWidth="1"/>
    <col min="9" max="9" width="49.42578125" style="110" bestFit="1" customWidth="1"/>
    <col min="11" max="11" width="18.5703125" customWidth="1"/>
    <col min="12" max="12" width="19.140625" customWidth="1"/>
    <col min="13" max="13" width="22" customWidth="1"/>
    <col min="14" max="15" width="19.140625" bestFit="1" customWidth="1"/>
  </cols>
  <sheetData>
    <row r="1" spans="1:9" s="3" customFormat="1">
      <c r="A1" s="663" t="s">
        <v>10</v>
      </c>
      <c r="B1" s="663"/>
      <c r="C1" s="663"/>
      <c r="D1" s="663"/>
      <c r="E1" s="663"/>
      <c r="F1" s="663"/>
      <c r="G1" s="663"/>
      <c r="H1" s="663"/>
      <c r="I1" s="663"/>
    </row>
    <row r="2" spans="1:9" s="3" customFormat="1">
      <c r="A2" s="664" t="s">
        <v>13</v>
      </c>
      <c r="B2" s="664"/>
      <c r="C2" s="664"/>
      <c r="D2" s="664"/>
      <c r="E2" s="664"/>
      <c r="F2" s="664"/>
      <c r="G2" s="664"/>
      <c r="H2" s="664"/>
      <c r="I2" s="664"/>
    </row>
    <row r="5" spans="1:9">
      <c r="A5" s="723" t="s">
        <v>3</v>
      </c>
      <c r="B5" s="724" t="s">
        <v>4</v>
      </c>
      <c r="C5" s="725" t="s">
        <v>0</v>
      </c>
      <c r="D5" s="726" t="s">
        <v>7</v>
      </c>
      <c r="E5" s="727" t="s">
        <v>1</v>
      </c>
      <c r="F5" s="726" t="s">
        <v>11</v>
      </c>
      <c r="G5" s="726"/>
      <c r="H5" s="726"/>
      <c r="I5" s="718" t="s">
        <v>12</v>
      </c>
    </row>
    <row r="6" spans="1:9">
      <c r="A6" s="723"/>
      <c r="B6" s="724"/>
      <c r="C6" s="725"/>
      <c r="D6" s="726"/>
      <c r="E6" s="727"/>
      <c r="F6" s="174" t="s">
        <v>2</v>
      </c>
      <c r="G6" s="174" t="s">
        <v>5</v>
      </c>
      <c r="H6" s="174" t="s">
        <v>6</v>
      </c>
      <c r="I6" s="718"/>
    </row>
    <row r="7" spans="1:9">
      <c r="A7" s="47"/>
      <c r="B7" s="719" t="s">
        <v>65</v>
      </c>
      <c r="C7" s="720"/>
      <c r="D7" s="175">
        <f>D8+D15+D27+D126+D127+D158+D167+D292+D295+D298+D301+D324+D705+D719+D722+D753+D776+D779+D780+D790+D799+D802+D818+D819+D838+D850+D856+D859+D860+D865+D873+D883+D887+D895+D902+D907+D910+D917+D922+D929+D934+D941+D948+D955+D962+D970</f>
        <v>1480103283.2836943</v>
      </c>
      <c r="E7" s="175">
        <f>E8+E15+E27+E126+E127+E158+E167+E292+E295+E298+E301+E324+E705+E719+E722+E753+E776+E779+E780+E790+E799+E802+E818+E819+E838+E850+E856+E859+E860+E865+E873+E883+E887+E895+E902+E907+E910+E917+E922+E929+E934+E941+E948+E955+E962+E970</f>
        <v>1828636606.1560001</v>
      </c>
      <c r="F7" s="175">
        <f>F8+F15+F27+F126+F127+F158+F167+F292+F295+F298+F301+F324+F705+F719+F722+F753+F776+F779+F780+F790+F799+F802+F818+F819+F838+F850+F856+F859+F860+F865+F873+F883+F887+F895+F902+F907+F910+F917+F922+F929+F934+F941+F948+F955+F962+F970</f>
        <v>2238686937.5051427</v>
      </c>
      <c r="G7" s="175">
        <f>G8+G15+G27+G126+G127+G158+G167+G292+G295+G298+G301+G324+G705+G719+G722+G753+G776+G779+G780+G790+G799+G802+G818+G819+G838+G850+G856+G859+G860+G865+G873+G883+G887+G895+G902+G907+G910+G917+G922+G929+G934+G941+G948+G955+G962+G970</f>
        <v>2346038279.7514014</v>
      </c>
      <c r="H7" s="175">
        <f>H8+H15+H27+H126+H127+H158+H167+H292+H295+H298+H301+H324+H705+H719+H722+H753+H776+H779+H780+H790+H799+H802+H818+H819+H838+H850+H856+H859+H860+H865+H873+H883+H887+H895+H902+H907+H910+H917+H922+H929+H934+H941+H948+H955+H962+H970</f>
        <v>2326956558.0422792</v>
      </c>
      <c r="I7" s="111"/>
    </row>
    <row r="8" spans="1:9">
      <c r="A8" s="157" t="s">
        <v>17</v>
      </c>
      <c r="B8" s="710" t="s">
        <v>18</v>
      </c>
      <c r="C8" s="711"/>
      <c r="D8" s="176">
        <f>D9+D12</f>
        <v>1466342.05</v>
      </c>
      <c r="E8" s="176">
        <f>E9+E12</f>
        <v>1771633</v>
      </c>
      <c r="F8" s="176">
        <f>F9+F12</f>
        <v>1693356.5</v>
      </c>
      <c r="G8" s="176">
        <f>G9+G12</f>
        <v>1699671.3</v>
      </c>
      <c r="H8" s="176">
        <f>H9+H12</f>
        <v>1752223.6</v>
      </c>
      <c r="I8" s="112"/>
    </row>
    <row r="9" spans="1:9">
      <c r="A9" s="703" t="s">
        <v>8</v>
      </c>
      <c r="B9" s="704"/>
      <c r="C9" s="705"/>
      <c r="D9" s="177">
        <f t="shared" ref="D9:H10" si="0">D10</f>
        <v>1431108.58</v>
      </c>
      <c r="E9" s="177">
        <f t="shared" si="0"/>
        <v>1685833</v>
      </c>
      <c r="F9" s="177">
        <f t="shared" si="0"/>
        <v>1689594</v>
      </c>
      <c r="G9" s="177">
        <f t="shared" si="0"/>
        <v>1695908.8</v>
      </c>
      <c r="H9" s="177">
        <f t="shared" si="0"/>
        <v>1702223.6</v>
      </c>
      <c r="I9" s="113"/>
    </row>
    <row r="10" spans="1:9">
      <c r="A10" s="32">
        <v>1154</v>
      </c>
      <c r="B10" s="721" t="s">
        <v>102</v>
      </c>
      <c r="C10" s="722"/>
      <c r="D10" s="178">
        <f t="shared" si="0"/>
        <v>1431108.58</v>
      </c>
      <c r="E10" s="178">
        <f t="shared" si="0"/>
        <v>1685833</v>
      </c>
      <c r="F10" s="178">
        <f t="shared" si="0"/>
        <v>1689594</v>
      </c>
      <c r="G10" s="178">
        <f t="shared" si="0"/>
        <v>1695908.8</v>
      </c>
      <c r="H10" s="178">
        <f t="shared" si="0"/>
        <v>1702223.6</v>
      </c>
      <c r="I10" s="114"/>
    </row>
    <row r="11" spans="1:9" ht="49.5">
      <c r="A11" s="10">
        <v>1154</v>
      </c>
      <c r="B11" s="2">
        <v>11001</v>
      </c>
      <c r="C11" s="40" t="s">
        <v>103</v>
      </c>
      <c r="D11" s="179">
        <v>1431108.58</v>
      </c>
      <c r="E11" s="179">
        <v>1685833</v>
      </c>
      <c r="F11" s="179">
        <v>1689594</v>
      </c>
      <c r="G11" s="179">
        <v>1695908.8</v>
      </c>
      <c r="H11" s="179">
        <v>1702223.6</v>
      </c>
      <c r="I11" s="25"/>
    </row>
    <row r="12" spans="1:9">
      <c r="A12" s="703" t="s">
        <v>9</v>
      </c>
      <c r="B12" s="704"/>
      <c r="C12" s="705"/>
      <c r="D12" s="177">
        <f t="shared" ref="D12:H13" si="1">D13</f>
        <v>35233.47</v>
      </c>
      <c r="E12" s="177">
        <f t="shared" si="1"/>
        <v>85800</v>
      </c>
      <c r="F12" s="177">
        <f t="shared" si="1"/>
        <v>3762.5</v>
      </c>
      <c r="G12" s="177">
        <f t="shared" si="1"/>
        <v>3762.5</v>
      </c>
      <c r="H12" s="177">
        <f t="shared" si="1"/>
        <v>50000</v>
      </c>
      <c r="I12" s="113"/>
    </row>
    <row r="13" spans="1:9">
      <c r="A13" s="32">
        <v>1154</v>
      </c>
      <c r="B13" s="721" t="s">
        <v>102</v>
      </c>
      <c r="C13" s="722"/>
      <c r="D13" s="180">
        <f t="shared" si="1"/>
        <v>35233.47</v>
      </c>
      <c r="E13" s="180">
        <f t="shared" si="1"/>
        <v>85800</v>
      </c>
      <c r="F13" s="180">
        <f t="shared" si="1"/>
        <v>3762.5</v>
      </c>
      <c r="G13" s="180">
        <f t="shared" si="1"/>
        <v>3762.5</v>
      </c>
      <c r="H13" s="180">
        <f t="shared" si="1"/>
        <v>50000</v>
      </c>
      <c r="I13" s="115"/>
    </row>
    <row r="14" spans="1:9" ht="49.5">
      <c r="A14" s="10">
        <v>1154</v>
      </c>
      <c r="B14" s="2">
        <v>31001</v>
      </c>
      <c r="C14" s="40" t="s">
        <v>104</v>
      </c>
      <c r="D14" s="172">
        <v>35233.47</v>
      </c>
      <c r="E14" s="172">
        <v>85800</v>
      </c>
      <c r="F14" s="172">
        <v>3762.5</v>
      </c>
      <c r="G14" s="172">
        <v>3762.5</v>
      </c>
      <c r="H14" s="172">
        <v>50000</v>
      </c>
      <c r="I14" s="116"/>
    </row>
    <row r="15" spans="1:9">
      <c r="A15" s="157" t="s">
        <v>17</v>
      </c>
      <c r="B15" s="710" t="s">
        <v>19</v>
      </c>
      <c r="C15" s="711"/>
      <c r="D15" s="176">
        <f>D16+D23</f>
        <v>6941448.3000000007</v>
      </c>
      <c r="E15" s="176">
        <f>E16+E23</f>
        <v>7264247.0999999996</v>
      </c>
      <c r="F15" s="176">
        <f>F16+F23</f>
        <v>0</v>
      </c>
      <c r="G15" s="176">
        <f>G16+G23</f>
        <v>0</v>
      </c>
      <c r="H15" s="176">
        <f>H16+H23</f>
        <v>0</v>
      </c>
      <c r="I15" s="112"/>
    </row>
    <row r="16" spans="1:9">
      <c r="A16" s="698" t="s">
        <v>8</v>
      </c>
      <c r="B16" s="699"/>
      <c r="C16" s="700"/>
      <c r="D16" s="177">
        <f>D17</f>
        <v>6754435.9000000004</v>
      </c>
      <c r="E16" s="177">
        <f>E17</f>
        <v>6896968.0999999996</v>
      </c>
      <c r="F16" s="177">
        <f>F17</f>
        <v>0</v>
      </c>
      <c r="G16" s="177">
        <f>G17</f>
        <v>0</v>
      </c>
      <c r="H16" s="177">
        <f>H17</f>
        <v>0</v>
      </c>
      <c r="I16" s="113"/>
    </row>
    <row r="17" spans="1:77">
      <c r="A17" s="67">
        <v>1024</v>
      </c>
      <c r="B17" s="701" t="s">
        <v>84</v>
      </c>
      <c r="C17" s="697"/>
      <c r="D17" s="180">
        <f>D18+D19+D20+D21+D22</f>
        <v>6754435.9000000004</v>
      </c>
      <c r="E17" s="180">
        <f>E18+E19+E20+E21+E22</f>
        <v>6896968.0999999996</v>
      </c>
      <c r="F17" s="180">
        <f>F18+F19+F20+F21+F22</f>
        <v>0</v>
      </c>
      <c r="G17" s="180">
        <f>G18+G19+G20+G21+G22</f>
        <v>0</v>
      </c>
      <c r="H17" s="180">
        <f>H18+H19+H20+H21+H22</f>
        <v>0</v>
      </c>
      <c r="I17" s="117"/>
    </row>
    <row r="18" spans="1:77" ht="49.5">
      <c r="A18" s="68">
        <v>1024</v>
      </c>
      <c r="B18" s="4">
        <v>11001</v>
      </c>
      <c r="C18" s="40" t="s">
        <v>79</v>
      </c>
      <c r="D18" s="179">
        <v>6050863.4000000004</v>
      </c>
      <c r="E18" s="179">
        <v>6198765.5999999996</v>
      </c>
      <c r="F18" s="179"/>
      <c r="G18" s="179"/>
      <c r="H18" s="179"/>
      <c r="I18" s="118"/>
    </row>
    <row r="19" spans="1:77" ht="33">
      <c r="A19" s="68">
        <v>1024</v>
      </c>
      <c r="B19" s="4">
        <v>11002</v>
      </c>
      <c r="C19" s="40" t="s">
        <v>80</v>
      </c>
      <c r="D19" s="179">
        <v>500</v>
      </c>
      <c r="E19" s="179">
        <v>1309.2</v>
      </c>
      <c r="F19" s="179"/>
      <c r="G19" s="179"/>
      <c r="H19" s="179"/>
      <c r="I19" s="118"/>
    </row>
    <row r="20" spans="1:77" ht="49.5">
      <c r="A20" s="68">
        <v>1024</v>
      </c>
      <c r="B20" s="4">
        <v>11003</v>
      </c>
      <c r="C20" s="40" t="s">
        <v>81</v>
      </c>
      <c r="D20" s="179">
        <v>54238.9</v>
      </c>
      <c r="E20" s="179">
        <v>50682.8</v>
      </c>
      <c r="F20" s="179"/>
      <c r="G20" s="179"/>
      <c r="H20" s="179"/>
      <c r="I20" s="118"/>
    </row>
    <row r="21" spans="1:77" ht="49.5">
      <c r="A21" s="68">
        <v>1024</v>
      </c>
      <c r="B21" s="4">
        <v>12001</v>
      </c>
      <c r="C21" s="40" t="s">
        <v>82</v>
      </c>
      <c r="D21" s="179">
        <v>128101.1</v>
      </c>
      <c r="E21" s="179">
        <v>125476.8</v>
      </c>
      <c r="F21" s="179"/>
      <c r="G21" s="179"/>
      <c r="H21" s="179"/>
      <c r="I21" s="118"/>
    </row>
    <row r="22" spans="1:77" ht="33">
      <c r="A22" s="68">
        <v>1024</v>
      </c>
      <c r="B22" s="4">
        <v>12002</v>
      </c>
      <c r="C22" s="40" t="s">
        <v>83</v>
      </c>
      <c r="D22" s="179">
        <v>520732.5</v>
      </c>
      <c r="E22" s="179">
        <v>520733.7</v>
      </c>
      <c r="F22" s="179"/>
      <c r="G22" s="179"/>
      <c r="H22" s="179"/>
      <c r="I22" s="118"/>
    </row>
    <row r="23" spans="1:77">
      <c r="A23" s="698" t="s">
        <v>9</v>
      </c>
      <c r="B23" s="699"/>
      <c r="C23" s="700"/>
      <c r="D23" s="177">
        <f>D24</f>
        <v>187012.4</v>
      </c>
      <c r="E23" s="177">
        <f>E24</f>
        <v>367279</v>
      </c>
      <c r="F23" s="177">
        <f>F24</f>
        <v>0</v>
      </c>
      <c r="G23" s="177">
        <f>G24</f>
        <v>0</v>
      </c>
      <c r="H23" s="177">
        <f>H24</f>
        <v>0</v>
      </c>
      <c r="I23" s="113"/>
    </row>
    <row r="24" spans="1:77">
      <c r="A24" s="67">
        <v>1024</v>
      </c>
      <c r="B24" s="701" t="s">
        <v>84</v>
      </c>
      <c r="C24" s="697"/>
      <c r="D24" s="180">
        <f>D25+D26</f>
        <v>187012.4</v>
      </c>
      <c r="E24" s="180">
        <f>E25+E26</f>
        <v>367279</v>
      </c>
      <c r="F24" s="180">
        <f>F25+F26</f>
        <v>0</v>
      </c>
      <c r="G24" s="180">
        <f>G25+G26</f>
        <v>0</v>
      </c>
      <c r="H24" s="180">
        <f>H25+H26</f>
        <v>0</v>
      </c>
      <c r="I24" s="117"/>
    </row>
    <row r="25" spans="1:77" ht="33">
      <c r="A25" s="68">
        <v>1024</v>
      </c>
      <c r="B25" s="4">
        <v>31001</v>
      </c>
      <c r="C25" s="40" t="s">
        <v>85</v>
      </c>
      <c r="D25" s="179">
        <v>110162.4</v>
      </c>
      <c r="E25" s="179">
        <v>175789</v>
      </c>
      <c r="F25" s="181"/>
      <c r="G25" s="181"/>
      <c r="H25" s="181"/>
      <c r="I25" s="119"/>
    </row>
    <row r="26" spans="1:77" ht="33">
      <c r="A26" s="68">
        <v>1024</v>
      </c>
      <c r="B26" s="4">
        <v>31003</v>
      </c>
      <c r="C26" s="40" t="s">
        <v>86</v>
      </c>
      <c r="D26" s="179">
        <v>76850</v>
      </c>
      <c r="E26" s="179">
        <v>191490</v>
      </c>
      <c r="F26" s="181"/>
      <c r="G26" s="181"/>
      <c r="H26" s="181"/>
      <c r="I26" s="119"/>
    </row>
    <row r="27" spans="1:77" ht="66">
      <c r="A27" s="157" t="s">
        <v>17</v>
      </c>
      <c r="B27" s="707" t="s">
        <v>20</v>
      </c>
      <c r="C27" s="708"/>
      <c r="D27" s="176">
        <f>D28+D103</f>
        <v>0</v>
      </c>
      <c r="E27" s="176">
        <f t="shared" ref="E27:H27" si="2">E28+E103</f>
        <v>24773904.600000005</v>
      </c>
      <c r="F27" s="176">
        <f t="shared" si="2"/>
        <v>24384680.300000001</v>
      </c>
      <c r="G27" s="176">
        <f t="shared" si="2"/>
        <v>24764570.900000006</v>
      </c>
      <c r="H27" s="176">
        <f t="shared" si="2"/>
        <v>23747795.500000004</v>
      </c>
      <c r="I27" s="120" t="s">
        <v>1028</v>
      </c>
    </row>
    <row r="28" spans="1:77" s="347" customFormat="1" ht="20.25" customHeight="1">
      <c r="A28" s="624" t="s">
        <v>8</v>
      </c>
      <c r="B28" s="625"/>
      <c r="C28" s="626"/>
      <c r="D28" s="352">
        <f>D29+D32+D40+D43+D50+D52+D63+D73+D87+D91+D95+D99</f>
        <v>0</v>
      </c>
      <c r="E28" s="352">
        <f>E29+E32+E40+E43+E50+E52+E63+E73+E87+E91+E95+E99</f>
        <v>20829250.300000004</v>
      </c>
      <c r="F28" s="352">
        <f>F29+F32+F40+F43+F50+F52+F63+F73+F87+F91+F95+F99</f>
        <v>21195365.900000002</v>
      </c>
      <c r="G28" s="352">
        <f>G29+G32+G40+G43+G50+G52+G63+G73+G87+G91+G95+G99</f>
        <v>21362009.300000004</v>
      </c>
      <c r="H28" s="352">
        <f>H29+H32+H40+H43+H50+H52+H63+H73+H87+H91+H95+H99</f>
        <v>21456835.900000002</v>
      </c>
      <c r="I28" s="306"/>
    </row>
    <row r="29" spans="1:77" s="348" customFormat="1">
      <c r="A29" s="353">
        <v>1018</v>
      </c>
      <c r="B29" s="631" t="s">
        <v>1029</v>
      </c>
      <c r="C29" s="632"/>
      <c r="D29" s="354">
        <f>SUM(D30:D31)</f>
        <v>0</v>
      </c>
      <c r="E29" s="354">
        <f>SUM(E30:E31)</f>
        <v>181746.80000000002</v>
      </c>
      <c r="F29" s="354">
        <f>SUM(F30:F31)</f>
        <v>491514.5</v>
      </c>
      <c r="G29" s="354">
        <f>SUM(G30:G31)</f>
        <v>526902.69999999995</v>
      </c>
      <c r="H29" s="354">
        <f>SUM(H30:H31)</f>
        <v>491761.2</v>
      </c>
      <c r="I29" s="30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347"/>
      <c r="BG29" s="347"/>
      <c r="BH29" s="347"/>
      <c r="BI29" s="347"/>
      <c r="BJ29" s="347"/>
      <c r="BK29" s="347"/>
      <c r="BL29" s="347"/>
      <c r="BM29" s="347"/>
      <c r="BN29" s="347"/>
      <c r="BO29" s="347"/>
      <c r="BP29" s="347"/>
      <c r="BQ29" s="347"/>
      <c r="BR29" s="347"/>
      <c r="BS29" s="347"/>
      <c r="BT29" s="347"/>
      <c r="BU29" s="347"/>
      <c r="BV29" s="347"/>
      <c r="BW29" s="347"/>
      <c r="BX29" s="347"/>
      <c r="BY29" s="347"/>
    </row>
    <row r="30" spans="1:77" s="347" customFormat="1" ht="27" customHeight="1">
      <c r="A30" s="7">
        <v>1018</v>
      </c>
      <c r="B30" s="308">
        <v>11001</v>
      </c>
      <c r="C30" s="309" t="s">
        <v>1030</v>
      </c>
      <c r="D30" s="310"/>
      <c r="E30" s="311">
        <v>0</v>
      </c>
      <c r="F30" s="312"/>
      <c r="G30" s="312"/>
      <c r="H30" s="312"/>
      <c r="I30" s="313"/>
    </row>
    <row r="31" spans="1:77" s="347" customFormat="1" ht="67.5">
      <c r="A31" s="7">
        <v>1018</v>
      </c>
      <c r="B31" s="308">
        <v>11004</v>
      </c>
      <c r="C31" s="309" t="s">
        <v>1031</v>
      </c>
      <c r="D31" s="310"/>
      <c r="E31" s="314">
        <v>181746.80000000002</v>
      </c>
      <c r="F31" s="312">
        <v>491514.5</v>
      </c>
      <c r="G31" s="312">
        <v>526902.69999999995</v>
      </c>
      <c r="H31" s="312">
        <v>491761.2</v>
      </c>
      <c r="I31" s="313"/>
    </row>
    <row r="32" spans="1:77" s="348" customFormat="1">
      <c r="A32" s="353">
        <v>1033</v>
      </c>
      <c r="B32" s="728" t="s">
        <v>1032</v>
      </c>
      <c r="C32" s="729"/>
      <c r="D32" s="355">
        <f>SUM(D33:D39)</f>
        <v>0</v>
      </c>
      <c r="E32" s="355">
        <f>SUM(E33:E39)</f>
        <v>73813</v>
      </c>
      <c r="F32" s="355">
        <f t="shared" ref="F32:H32" si="3">SUM(F33:F39)</f>
        <v>87696.3</v>
      </c>
      <c r="G32" s="355">
        <f t="shared" si="3"/>
        <v>90568.3</v>
      </c>
      <c r="H32" s="355">
        <f t="shared" si="3"/>
        <v>87696.3</v>
      </c>
      <c r="I32" s="315"/>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row>
    <row r="33" spans="1:77" s="347" customFormat="1" ht="40.5">
      <c r="A33" s="7">
        <v>1033</v>
      </c>
      <c r="B33" s="316">
        <v>11001</v>
      </c>
      <c r="C33" s="309" t="s">
        <v>1033</v>
      </c>
      <c r="D33" s="310"/>
      <c r="E33" s="311"/>
      <c r="F33" s="317">
        <v>0</v>
      </c>
      <c r="G33" s="317">
        <v>0</v>
      </c>
      <c r="H33" s="318">
        <v>0</v>
      </c>
      <c r="I33" s="313"/>
    </row>
    <row r="34" spans="1:77" s="347" customFormat="1" ht="40.5">
      <c r="A34" s="7">
        <v>1033</v>
      </c>
      <c r="B34" s="316">
        <v>11002</v>
      </c>
      <c r="C34" s="309" t="s">
        <v>1034</v>
      </c>
      <c r="D34" s="310"/>
      <c r="E34" s="311">
        <v>12000</v>
      </c>
      <c r="F34" s="312">
        <v>12000</v>
      </c>
      <c r="G34" s="312">
        <v>12000</v>
      </c>
      <c r="H34" s="312">
        <v>12000</v>
      </c>
      <c r="I34" s="313"/>
    </row>
    <row r="35" spans="1:77" s="347" customFormat="1" ht="27">
      <c r="A35" s="7">
        <v>1033</v>
      </c>
      <c r="B35" s="308">
        <v>11003</v>
      </c>
      <c r="C35" s="309" t="s">
        <v>1035</v>
      </c>
      <c r="D35" s="310"/>
      <c r="E35" s="319">
        <v>41813</v>
      </c>
      <c r="F35" s="312">
        <v>38941</v>
      </c>
      <c r="G35" s="312">
        <v>41813</v>
      </c>
      <c r="H35" s="312">
        <v>38941</v>
      </c>
      <c r="I35" s="313"/>
    </row>
    <row r="36" spans="1:77" s="347" customFormat="1" ht="40.5">
      <c r="A36" s="7">
        <v>1033</v>
      </c>
      <c r="B36" s="308">
        <v>11011</v>
      </c>
      <c r="C36" s="309" t="s">
        <v>1036</v>
      </c>
      <c r="D36" s="310"/>
      <c r="E36" s="319"/>
      <c r="F36" s="312">
        <v>16755.3</v>
      </c>
      <c r="G36" s="312">
        <v>16755.3</v>
      </c>
      <c r="H36" s="312">
        <v>16755.3</v>
      </c>
      <c r="I36" s="313"/>
    </row>
    <row r="37" spans="1:77" s="347" customFormat="1" ht="40.5">
      <c r="A37" s="7">
        <v>1033</v>
      </c>
      <c r="B37" s="316">
        <v>12001</v>
      </c>
      <c r="C37" s="309" t="s">
        <v>1037</v>
      </c>
      <c r="D37" s="310"/>
      <c r="E37" s="319">
        <v>20000</v>
      </c>
      <c r="F37" s="312">
        <v>20000</v>
      </c>
      <c r="G37" s="312">
        <v>20000</v>
      </c>
      <c r="H37" s="312">
        <v>20000</v>
      </c>
      <c r="I37" s="313"/>
    </row>
    <row r="38" spans="1:77" s="347" customFormat="1" ht="27">
      <c r="A38" s="7">
        <v>1033</v>
      </c>
      <c r="B38" s="308">
        <v>12002</v>
      </c>
      <c r="C38" s="309" t="s">
        <v>83</v>
      </c>
      <c r="D38" s="310"/>
      <c r="E38" s="311"/>
      <c r="F38" s="317">
        <v>0</v>
      </c>
      <c r="G38" s="317"/>
      <c r="H38" s="318">
        <v>0</v>
      </c>
      <c r="I38" s="313"/>
    </row>
    <row r="39" spans="1:77" s="347" customFormat="1" ht="18" customHeight="1">
      <c r="A39" s="7">
        <v>1033</v>
      </c>
      <c r="B39" s="308">
        <v>12003</v>
      </c>
      <c r="C39" s="309" t="s">
        <v>1038</v>
      </c>
      <c r="D39" s="310"/>
      <c r="E39" s="311"/>
      <c r="F39" s="317">
        <v>0</v>
      </c>
      <c r="G39" s="317">
        <v>0</v>
      </c>
      <c r="H39" s="318">
        <v>0</v>
      </c>
      <c r="I39" s="313"/>
    </row>
    <row r="40" spans="1:77" s="348" customFormat="1" ht="23.25" customHeight="1">
      <c r="A40" s="353"/>
      <c r="B40" s="631" t="s">
        <v>1039</v>
      </c>
      <c r="C40" s="632"/>
      <c r="D40" s="354">
        <f>SUM(D41:D42)</f>
        <v>0</v>
      </c>
      <c r="E40" s="354">
        <f>SUM(E41:E42)</f>
        <v>0</v>
      </c>
      <c r="F40" s="354">
        <f t="shared" ref="F40:H40" si="4">SUM(F41:F42)</f>
        <v>0</v>
      </c>
      <c r="G40" s="354">
        <f t="shared" si="4"/>
        <v>0</v>
      </c>
      <c r="H40" s="354">
        <f t="shared" si="4"/>
        <v>0</v>
      </c>
      <c r="I40" s="315"/>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c r="BV40" s="347"/>
      <c r="BW40" s="347"/>
      <c r="BX40" s="347"/>
      <c r="BY40" s="347"/>
    </row>
    <row r="41" spans="1:77" s="347" customFormat="1" ht="81">
      <c r="A41" s="81"/>
      <c r="B41" s="316">
        <v>11001</v>
      </c>
      <c r="C41" s="309" t="s">
        <v>1040</v>
      </c>
      <c r="D41" s="310"/>
      <c r="E41" s="311"/>
      <c r="F41" s="310"/>
      <c r="G41" s="310"/>
      <c r="H41" s="320"/>
      <c r="I41" s="313"/>
    </row>
    <row r="42" spans="1:77" s="347" customFormat="1" ht="54">
      <c r="A42" s="81"/>
      <c r="B42" s="316">
        <v>12001</v>
      </c>
      <c r="C42" s="309" t="s">
        <v>1041</v>
      </c>
      <c r="D42" s="310"/>
      <c r="E42" s="311"/>
      <c r="F42" s="310"/>
      <c r="G42" s="310"/>
      <c r="H42" s="320"/>
      <c r="I42" s="313"/>
    </row>
    <row r="43" spans="1:77" s="348" customFormat="1">
      <c r="A43" s="353">
        <v>1091</v>
      </c>
      <c r="B43" s="631" t="s">
        <v>1042</v>
      </c>
      <c r="C43" s="632"/>
      <c r="D43" s="354">
        <f>SUM(D44:D49)</f>
        <v>0</v>
      </c>
      <c r="E43" s="354">
        <f>SUM(E44:E49)</f>
        <v>1323664.6000000001</v>
      </c>
      <c r="F43" s="354">
        <f t="shared" ref="F43:H43" si="5">SUM(F44:F49)</f>
        <v>1351929.1</v>
      </c>
      <c r="G43" s="354">
        <f t="shared" si="5"/>
        <v>1383020</v>
      </c>
      <c r="H43" s="354">
        <f t="shared" si="5"/>
        <v>1417220</v>
      </c>
      <c r="I43" s="315"/>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row>
    <row r="44" spans="1:77" s="347" customFormat="1" ht="21.75" customHeight="1">
      <c r="A44" s="81">
        <v>1091</v>
      </c>
      <c r="B44" s="316">
        <v>11001</v>
      </c>
      <c r="C44" s="309" t="s">
        <v>1043</v>
      </c>
      <c r="D44" s="310"/>
      <c r="E44" s="319">
        <v>731763.1</v>
      </c>
      <c r="F44" s="312">
        <v>731763.1</v>
      </c>
      <c r="G44" s="312">
        <v>731763.1</v>
      </c>
      <c r="H44" s="312">
        <v>731763.1</v>
      </c>
      <c r="I44" s="313"/>
    </row>
    <row r="45" spans="1:77" s="347" customFormat="1">
      <c r="A45" s="81">
        <v>1091</v>
      </c>
      <c r="B45" s="316">
        <v>11002</v>
      </c>
      <c r="C45" s="309" t="s">
        <v>1044</v>
      </c>
      <c r="D45" s="310"/>
      <c r="E45" s="319"/>
      <c r="F45" s="312"/>
      <c r="G45" s="312"/>
      <c r="H45" s="312"/>
      <c r="I45" s="313"/>
    </row>
    <row r="46" spans="1:77" s="347" customFormat="1" ht="27">
      <c r="A46" s="81">
        <v>1091</v>
      </c>
      <c r="B46" s="316">
        <v>11004</v>
      </c>
      <c r="C46" s="309" t="s">
        <v>1045</v>
      </c>
      <c r="D46" s="310"/>
      <c r="E46" s="319">
        <v>199258.2</v>
      </c>
      <c r="F46" s="312">
        <v>199258.2</v>
      </c>
      <c r="G46" s="312">
        <v>199258.2</v>
      </c>
      <c r="H46" s="312">
        <v>199258.2</v>
      </c>
      <c r="I46" s="313"/>
    </row>
    <row r="47" spans="1:77" s="347" customFormat="1" ht="40.5">
      <c r="A47" s="81">
        <v>1091</v>
      </c>
      <c r="B47" s="321">
        <v>11011</v>
      </c>
      <c r="C47" s="309" t="s">
        <v>1046</v>
      </c>
      <c r="D47" s="310"/>
      <c r="E47" s="322">
        <v>109998.7</v>
      </c>
      <c r="F47" s="312">
        <v>109998.7</v>
      </c>
      <c r="G47" s="312">
        <v>109998.7</v>
      </c>
      <c r="H47" s="312">
        <v>109998.7</v>
      </c>
      <c r="I47" s="313"/>
    </row>
    <row r="48" spans="1:77" s="347" customFormat="1" ht="40.5">
      <c r="A48" s="81">
        <v>1091</v>
      </c>
      <c r="B48" s="316">
        <v>12001</v>
      </c>
      <c r="C48" s="309" t="s">
        <v>1047</v>
      </c>
      <c r="D48" s="310"/>
      <c r="E48" s="319">
        <v>282644.59999999998</v>
      </c>
      <c r="F48" s="319">
        <v>310909.09999999998</v>
      </c>
      <c r="G48" s="319">
        <v>342000</v>
      </c>
      <c r="H48" s="312">
        <v>376200</v>
      </c>
      <c r="I48" s="313"/>
    </row>
    <row r="49" spans="1:77" s="347" customFormat="1" ht="40.5">
      <c r="A49" s="81">
        <v>1091</v>
      </c>
      <c r="B49" s="316">
        <v>32002</v>
      </c>
      <c r="C49" s="309" t="s">
        <v>1048</v>
      </c>
      <c r="D49" s="310"/>
      <c r="E49" s="319"/>
      <c r="F49" s="310"/>
      <c r="G49" s="310"/>
      <c r="H49" s="320"/>
      <c r="I49" s="313"/>
    </row>
    <row r="50" spans="1:77" s="348" customFormat="1">
      <c r="A50" s="353">
        <v>1132</v>
      </c>
      <c r="B50" s="631" t="s">
        <v>1049</v>
      </c>
      <c r="C50" s="632"/>
      <c r="D50" s="354">
        <f>SUM(D51)</f>
        <v>0</v>
      </c>
      <c r="E50" s="354">
        <f>SUM(E51)</f>
        <v>10098</v>
      </c>
      <c r="F50" s="354">
        <f t="shared" ref="F50:H50" si="6">SUM(F51)</f>
        <v>10098</v>
      </c>
      <c r="G50" s="354">
        <f t="shared" si="6"/>
        <v>10098</v>
      </c>
      <c r="H50" s="354">
        <f t="shared" si="6"/>
        <v>10098</v>
      </c>
      <c r="I50" s="315"/>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347"/>
      <c r="BG50" s="347"/>
      <c r="BH50" s="347"/>
      <c r="BI50" s="347"/>
      <c r="BJ50" s="347"/>
      <c r="BK50" s="347"/>
      <c r="BL50" s="347"/>
      <c r="BM50" s="347"/>
      <c r="BN50" s="347"/>
      <c r="BO50" s="347"/>
      <c r="BP50" s="347"/>
      <c r="BQ50" s="347"/>
      <c r="BR50" s="347"/>
      <c r="BS50" s="347"/>
      <c r="BT50" s="347"/>
      <c r="BU50" s="347"/>
      <c r="BV50" s="347"/>
      <c r="BW50" s="347"/>
      <c r="BX50" s="347"/>
      <c r="BY50" s="347"/>
    </row>
    <row r="51" spans="1:77" s="347" customFormat="1" ht="27">
      <c r="A51" s="7">
        <v>1132</v>
      </c>
      <c r="B51" s="308">
        <v>11001</v>
      </c>
      <c r="C51" s="309" t="s">
        <v>1050</v>
      </c>
      <c r="D51" s="310"/>
      <c r="E51" s="311">
        <v>10098</v>
      </c>
      <c r="F51" s="311">
        <v>10098</v>
      </c>
      <c r="G51" s="311">
        <v>10098</v>
      </c>
      <c r="H51" s="311">
        <v>10098</v>
      </c>
      <c r="I51" s="313"/>
    </row>
    <row r="52" spans="1:77" s="348" customFormat="1" ht="43.5" customHeight="1">
      <c r="A52" s="294">
        <v>1136</v>
      </c>
      <c r="B52" s="631" t="s">
        <v>1051</v>
      </c>
      <c r="C52" s="632"/>
      <c r="D52" s="354">
        <f>SUM(D53:D62)</f>
        <v>0</v>
      </c>
      <c r="E52" s="354">
        <f>SUM(E53:E62)</f>
        <v>7076986.6000000006</v>
      </c>
      <c r="F52" s="354">
        <f>SUM(F53:F62)</f>
        <v>7196618</v>
      </c>
      <c r="G52" s="354">
        <f>SUM(G53:G62)</f>
        <v>7237281.8999999994</v>
      </c>
      <c r="H52" s="354">
        <f>SUM(H53:H62)</f>
        <v>7278352.3999999994</v>
      </c>
      <c r="I52" s="315"/>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7"/>
      <c r="BV52" s="347"/>
      <c r="BW52" s="347"/>
      <c r="BX52" s="347"/>
      <c r="BY52" s="347"/>
    </row>
    <row r="53" spans="1:77" s="347" customFormat="1">
      <c r="A53" s="81">
        <v>1136</v>
      </c>
      <c r="B53" s="316">
        <v>11001</v>
      </c>
      <c r="C53" s="309" t="s">
        <v>1052</v>
      </c>
      <c r="D53" s="310"/>
      <c r="E53" s="323">
        <v>5907419.4000000004</v>
      </c>
      <c r="F53" s="317">
        <v>5787725.4000000004</v>
      </c>
      <c r="G53" s="317">
        <v>5828389.2999999998</v>
      </c>
      <c r="H53" s="318">
        <v>5869459.7999999998</v>
      </c>
      <c r="I53" s="313"/>
    </row>
    <row r="54" spans="1:77" s="347" customFormat="1" ht="27">
      <c r="A54" s="81">
        <v>1136</v>
      </c>
      <c r="B54" s="316">
        <v>11003</v>
      </c>
      <c r="C54" s="309" t="s">
        <v>338</v>
      </c>
      <c r="D54" s="310"/>
      <c r="E54" s="323"/>
      <c r="F54" s="312"/>
      <c r="G54" s="312"/>
      <c r="H54" s="312"/>
      <c r="I54" s="313"/>
    </row>
    <row r="55" spans="1:77" s="347" customFormat="1" ht="54">
      <c r="A55" s="81">
        <v>1136</v>
      </c>
      <c r="B55" s="316">
        <v>11004</v>
      </c>
      <c r="C55" s="309" t="s">
        <v>1053</v>
      </c>
      <c r="D55" s="310"/>
      <c r="E55" s="323">
        <v>23600</v>
      </c>
      <c r="F55" s="323">
        <v>23600</v>
      </c>
      <c r="G55" s="323">
        <v>23600</v>
      </c>
      <c r="H55" s="323">
        <v>23600</v>
      </c>
      <c r="I55" s="313"/>
    </row>
    <row r="56" spans="1:77" s="347" customFormat="1">
      <c r="A56" s="81">
        <v>1136</v>
      </c>
      <c r="B56" s="316">
        <v>11005</v>
      </c>
      <c r="C56" s="324" t="s">
        <v>1054</v>
      </c>
      <c r="D56" s="310"/>
      <c r="E56" s="323">
        <v>486956.79999999999</v>
      </c>
      <c r="F56" s="323">
        <v>486956.79999999999</v>
      </c>
      <c r="G56" s="323">
        <v>486956.79999999999</v>
      </c>
      <c r="H56" s="323">
        <v>486956.79999999999</v>
      </c>
      <c r="I56" s="313"/>
    </row>
    <row r="57" spans="1:77" s="347" customFormat="1" ht="40.5">
      <c r="A57" s="81">
        <v>1136</v>
      </c>
      <c r="B57" s="316">
        <v>11010</v>
      </c>
      <c r="C57" s="324" t="s">
        <v>1055</v>
      </c>
      <c r="D57" s="310"/>
      <c r="E57" s="323">
        <v>602979</v>
      </c>
      <c r="F57" s="323">
        <v>602979</v>
      </c>
      <c r="G57" s="323">
        <v>602979</v>
      </c>
      <c r="H57" s="323">
        <v>602979</v>
      </c>
      <c r="I57" s="313"/>
    </row>
    <row r="58" spans="1:77" s="347" customFormat="1" ht="40.5">
      <c r="A58" s="81">
        <v>1136</v>
      </c>
      <c r="B58" s="316">
        <v>11011</v>
      </c>
      <c r="C58" s="309" t="s">
        <v>1056</v>
      </c>
      <c r="D58" s="310"/>
      <c r="E58" s="323">
        <v>0</v>
      </c>
      <c r="F58" s="312"/>
      <c r="G58" s="312"/>
      <c r="H58" s="312"/>
      <c r="I58" s="313"/>
    </row>
    <row r="59" spans="1:77" s="347" customFormat="1" ht="27">
      <c r="A59" s="81">
        <v>1136</v>
      </c>
      <c r="B59" s="316">
        <v>11012</v>
      </c>
      <c r="C59" s="309" t="s">
        <v>1057</v>
      </c>
      <c r="D59" s="310"/>
      <c r="E59" s="311"/>
      <c r="F59" s="312"/>
      <c r="G59" s="312"/>
      <c r="H59" s="312"/>
      <c r="I59" s="313"/>
    </row>
    <row r="60" spans="1:77" s="347" customFormat="1" ht="54">
      <c r="A60" s="81">
        <v>1136</v>
      </c>
      <c r="B60" s="316">
        <v>11015</v>
      </c>
      <c r="C60" s="324" t="s">
        <v>1058</v>
      </c>
      <c r="D60" s="310"/>
      <c r="E60" s="323"/>
      <c r="F60" s="312"/>
      <c r="G60" s="312"/>
      <c r="H60" s="312"/>
      <c r="I60" s="313"/>
    </row>
    <row r="61" spans="1:77" s="347" customFormat="1" ht="40.5">
      <c r="A61" s="81">
        <v>1136</v>
      </c>
      <c r="B61" s="316">
        <v>11017</v>
      </c>
      <c r="C61" s="324" t="s">
        <v>1059</v>
      </c>
      <c r="D61" s="310"/>
      <c r="E61" s="323"/>
      <c r="F61" s="325">
        <v>15200</v>
      </c>
      <c r="G61" s="325">
        <v>15200</v>
      </c>
      <c r="H61" s="325">
        <v>15200</v>
      </c>
      <c r="I61" s="313"/>
    </row>
    <row r="62" spans="1:77" s="347" customFormat="1" ht="27">
      <c r="A62" s="81">
        <v>1136</v>
      </c>
      <c r="B62" s="316">
        <v>11018</v>
      </c>
      <c r="C62" s="324" t="s">
        <v>1060</v>
      </c>
      <c r="D62" s="310"/>
      <c r="E62" s="322">
        <v>56031.4</v>
      </c>
      <c r="F62" s="326">
        <v>280156.79999999999</v>
      </c>
      <c r="G62" s="326">
        <v>280156.79999999999</v>
      </c>
      <c r="H62" s="326">
        <v>280156.79999999999</v>
      </c>
      <c r="I62" s="313"/>
    </row>
    <row r="63" spans="1:77" s="348" customFormat="1">
      <c r="A63" s="353">
        <v>1156</v>
      </c>
      <c r="B63" s="627" t="s">
        <v>1061</v>
      </c>
      <c r="C63" s="628"/>
      <c r="D63" s="354">
        <f>SUM(D64:D72)</f>
        <v>0</v>
      </c>
      <c r="E63" s="354">
        <f>SUM(E64:E72)</f>
        <v>577054.9</v>
      </c>
      <c r="F63" s="354">
        <f t="shared" ref="F63:I63" si="7">SUM(F64:F72)</f>
        <v>577054.9</v>
      </c>
      <c r="G63" s="354">
        <f t="shared" si="7"/>
        <v>577054.9</v>
      </c>
      <c r="H63" s="354">
        <f t="shared" si="7"/>
        <v>577054.9</v>
      </c>
      <c r="I63" s="327">
        <f t="shared" si="7"/>
        <v>0</v>
      </c>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7"/>
      <c r="BT63" s="347"/>
      <c r="BU63" s="347"/>
      <c r="BV63" s="347"/>
      <c r="BW63" s="347"/>
      <c r="BX63" s="347"/>
      <c r="BY63" s="347"/>
    </row>
    <row r="64" spans="1:77" s="347" customFormat="1">
      <c r="A64" s="81">
        <v>1156</v>
      </c>
      <c r="B64" s="328">
        <v>11007</v>
      </c>
      <c r="C64" s="329" t="s">
        <v>1062</v>
      </c>
      <c r="D64" s="336"/>
      <c r="E64" s="330">
        <v>153060.1</v>
      </c>
      <c r="F64" s="330">
        <v>153060.1</v>
      </c>
      <c r="G64" s="330">
        <v>153060.1</v>
      </c>
      <c r="H64" s="330">
        <v>153060.1</v>
      </c>
      <c r="I64" s="331"/>
    </row>
    <row r="65" spans="1:77" s="347" customFormat="1" ht="47.25" customHeight="1">
      <c r="A65" s="81">
        <v>1156</v>
      </c>
      <c r="B65" s="316">
        <v>11008</v>
      </c>
      <c r="C65" s="309" t="s">
        <v>1063</v>
      </c>
      <c r="D65" s="332"/>
      <c r="E65" s="311">
        <v>26603.1</v>
      </c>
      <c r="F65" s="311">
        <v>26603.1</v>
      </c>
      <c r="G65" s="311">
        <v>26603.1</v>
      </c>
      <c r="H65" s="311">
        <v>26603.1</v>
      </c>
      <c r="I65" s="333"/>
      <c r="J65" s="350"/>
    </row>
    <row r="66" spans="1:77" s="347" customFormat="1" ht="31.7" customHeight="1">
      <c r="A66" s="81">
        <v>1156</v>
      </c>
      <c r="B66" s="316">
        <v>11010</v>
      </c>
      <c r="C66" s="309" t="s">
        <v>1064</v>
      </c>
      <c r="D66" s="332"/>
      <c r="E66" s="311">
        <v>60000</v>
      </c>
      <c r="F66" s="311">
        <v>60000</v>
      </c>
      <c r="G66" s="311">
        <v>60000</v>
      </c>
      <c r="H66" s="311">
        <v>60000</v>
      </c>
      <c r="I66" s="313"/>
      <c r="J66" s="350"/>
    </row>
    <row r="67" spans="1:77" s="347" customFormat="1">
      <c r="A67" s="81">
        <v>1156</v>
      </c>
      <c r="B67" s="316">
        <v>11011</v>
      </c>
      <c r="C67" s="309" t="s">
        <v>1065</v>
      </c>
      <c r="D67" s="332"/>
      <c r="E67" s="311">
        <v>51045.8</v>
      </c>
      <c r="F67" s="311">
        <v>51045.8</v>
      </c>
      <c r="G67" s="311">
        <v>51045.8</v>
      </c>
      <c r="H67" s="311">
        <v>51045.8</v>
      </c>
      <c r="I67" s="313"/>
    </row>
    <row r="68" spans="1:77" s="347" customFormat="1" ht="40.5">
      <c r="A68" s="81">
        <v>1156</v>
      </c>
      <c r="B68" s="316">
        <v>11012</v>
      </c>
      <c r="C68" s="309" t="s">
        <v>1066</v>
      </c>
      <c r="D68" s="332"/>
      <c r="E68" s="311">
        <v>242582.8</v>
      </c>
      <c r="F68" s="311">
        <v>242582.8</v>
      </c>
      <c r="G68" s="311">
        <v>242582.8</v>
      </c>
      <c r="H68" s="311">
        <v>242582.8</v>
      </c>
      <c r="I68" s="313"/>
    </row>
    <row r="69" spans="1:77" s="347" customFormat="1">
      <c r="A69" s="81">
        <v>1156</v>
      </c>
      <c r="B69" s="316">
        <v>11013</v>
      </c>
      <c r="C69" s="309" t="s">
        <v>1067</v>
      </c>
      <c r="D69" s="332"/>
      <c r="E69" s="311">
        <v>27263.1</v>
      </c>
      <c r="F69" s="311">
        <v>27263.1</v>
      </c>
      <c r="G69" s="311">
        <v>27263.1</v>
      </c>
      <c r="H69" s="311">
        <v>27263.1</v>
      </c>
      <c r="I69" s="313"/>
    </row>
    <row r="70" spans="1:77" s="347" customFormat="1">
      <c r="A70" s="81">
        <v>1156</v>
      </c>
      <c r="B70" s="316">
        <v>12002</v>
      </c>
      <c r="C70" s="309" t="s">
        <v>1068</v>
      </c>
      <c r="D70" s="332"/>
      <c r="E70" s="311"/>
      <c r="F70" s="311"/>
      <c r="G70" s="311"/>
      <c r="H70" s="311"/>
      <c r="I70" s="313"/>
    </row>
    <row r="71" spans="1:77" s="347" customFormat="1" ht="27">
      <c r="A71" s="81">
        <v>1156</v>
      </c>
      <c r="B71" s="316">
        <v>12001</v>
      </c>
      <c r="C71" s="309" t="s">
        <v>1069</v>
      </c>
      <c r="D71" s="332"/>
      <c r="E71" s="311">
        <v>16500</v>
      </c>
      <c r="F71" s="311">
        <v>16500</v>
      </c>
      <c r="G71" s="311">
        <v>16500</v>
      </c>
      <c r="H71" s="311">
        <v>16500</v>
      </c>
      <c r="I71" s="313"/>
    </row>
    <row r="72" spans="1:77" s="347" customFormat="1">
      <c r="A72" s="81">
        <v>1156</v>
      </c>
      <c r="B72" s="316">
        <v>11003</v>
      </c>
      <c r="C72" s="309" t="s">
        <v>1070</v>
      </c>
      <c r="D72" s="332"/>
      <c r="E72" s="311"/>
      <c r="F72" s="310"/>
      <c r="G72" s="310"/>
      <c r="H72" s="320"/>
      <c r="I72" s="313"/>
    </row>
    <row r="73" spans="1:77" s="348" customFormat="1">
      <c r="A73" s="353">
        <v>1213</v>
      </c>
      <c r="B73" s="629" t="s">
        <v>1071</v>
      </c>
      <c r="C73" s="630"/>
      <c r="D73" s="355">
        <f>SUM(D74:D86)</f>
        <v>0</v>
      </c>
      <c r="E73" s="355">
        <f>SUM(E74:E86)</f>
        <v>6913377.7000000011</v>
      </c>
      <c r="F73" s="355">
        <f>SUM(F74:F86)</f>
        <v>6899854.3999999994</v>
      </c>
      <c r="G73" s="355">
        <f>SUM(G74:G86)</f>
        <v>6956482.8000000007</v>
      </c>
      <c r="H73" s="355">
        <f>SUM(H74:H86)</f>
        <v>7014052.4000000004</v>
      </c>
      <c r="I73" s="315"/>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c r="BQ73" s="347"/>
      <c r="BR73" s="347"/>
      <c r="BS73" s="347"/>
      <c r="BT73" s="347"/>
      <c r="BU73" s="347"/>
      <c r="BV73" s="347"/>
      <c r="BW73" s="347"/>
      <c r="BX73" s="347"/>
      <c r="BY73" s="347"/>
    </row>
    <row r="74" spans="1:77" s="347" customFormat="1" ht="27">
      <c r="A74" s="7">
        <v>1213</v>
      </c>
      <c r="B74" s="316">
        <v>11001</v>
      </c>
      <c r="C74" s="324" t="s">
        <v>1072</v>
      </c>
      <c r="D74" s="332"/>
      <c r="E74" s="323">
        <v>1540128</v>
      </c>
      <c r="F74" s="317">
        <v>1519400.7</v>
      </c>
      <c r="G74" s="317">
        <v>1533503.2000000002</v>
      </c>
      <c r="H74" s="318">
        <v>1547758.8000000003</v>
      </c>
      <c r="I74" s="36"/>
    </row>
    <row r="75" spans="1:77" s="347" customFormat="1" ht="27">
      <c r="A75" s="7">
        <v>1213</v>
      </c>
      <c r="B75" s="316">
        <v>11002</v>
      </c>
      <c r="C75" s="324" t="s">
        <v>1073</v>
      </c>
      <c r="D75" s="332"/>
      <c r="E75" s="323">
        <v>1104671.1000000001</v>
      </c>
      <c r="F75" s="317">
        <v>1113716.2</v>
      </c>
      <c r="G75" s="317">
        <v>1122851.5999999999</v>
      </c>
      <c r="H75" s="317">
        <v>1132078.3999999999</v>
      </c>
      <c r="I75" s="36"/>
    </row>
    <row r="76" spans="1:77" s="347" customFormat="1" ht="27">
      <c r="A76" s="7">
        <v>1213</v>
      </c>
      <c r="B76" s="316">
        <v>11003</v>
      </c>
      <c r="C76" s="324" t="s">
        <v>1074</v>
      </c>
      <c r="D76" s="332"/>
      <c r="E76" s="323">
        <v>316431</v>
      </c>
      <c r="F76" s="317">
        <v>315314.40000000002</v>
      </c>
      <c r="G76" s="317">
        <v>318014.2</v>
      </c>
      <c r="H76" s="317">
        <v>320740.90000000002</v>
      </c>
      <c r="I76" s="313"/>
    </row>
    <row r="77" spans="1:77" s="347" customFormat="1">
      <c r="A77" s="7">
        <v>1213</v>
      </c>
      <c r="B77" s="316">
        <v>11004</v>
      </c>
      <c r="C77" s="324" t="s">
        <v>1075</v>
      </c>
      <c r="D77" s="332"/>
      <c r="E77" s="323">
        <v>371248.9</v>
      </c>
      <c r="F77" s="317">
        <v>350151.4</v>
      </c>
      <c r="G77" s="317">
        <v>353323.4</v>
      </c>
      <c r="H77" s="318">
        <v>356527.2</v>
      </c>
      <c r="I77" s="313"/>
    </row>
    <row r="78" spans="1:77" s="347" customFormat="1" ht="27">
      <c r="A78" s="7">
        <v>1213</v>
      </c>
      <c r="B78" s="316">
        <v>11005</v>
      </c>
      <c r="C78" s="324" t="s">
        <v>1076</v>
      </c>
      <c r="D78" s="332"/>
      <c r="E78" s="323">
        <v>26000</v>
      </c>
      <c r="F78" s="317">
        <v>26000</v>
      </c>
      <c r="G78" s="317">
        <v>26000</v>
      </c>
      <c r="H78" s="318">
        <v>26000</v>
      </c>
      <c r="I78" s="36"/>
    </row>
    <row r="79" spans="1:77" s="347" customFormat="1" ht="40.5">
      <c r="A79" s="7">
        <v>1213</v>
      </c>
      <c r="B79" s="316">
        <v>11006</v>
      </c>
      <c r="C79" s="324" t="s">
        <v>1077</v>
      </c>
      <c r="D79" s="332"/>
      <c r="E79" s="323">
        <v>1311967.8999999999</v>
      </c>
      <c r="F79" s="317">
        <v>1324216.5</v>
      </c>
      <c r="G79" s="317">
        <v>1336587.5</v>
      </c>
      <c r="H79" s="318">
        <v>1349082.2</v>
      </c>
      <c r="I79" s="333"/>
    </row>
    <row r="80" spans="1:77" s="347" customFormat="1" ht="40.5">
      <c r="A80" s="7">
        <v>1213</v>
      </c>
      <c r="B80" s="316">
        <v>11007</v>
      </c>
      <c r="C80" s="324" t="s">
        <v>1078</v>
      </c>
      <c r="D80" s="332"/>
      <c r="E80" s="323">
        <v>1733415.4</v>
      </c>
      <c r="F80" s="317">
        <v>1741539.8</v>
      </c>
      <c r="G80" s="317">
        <v>1756687.5</v>
      </c>
      <c r="H80" s="318">
        <v>1772349.5</v>
      </c>
      <c r="I80" s="36"/>
    </row>
    <row r="81" spans="1:77" s="347" customFormat="1" ht="27">
      <c r="A81" s="7">
        <v>1213</v>
      </c>
      <c r="B81" s="316">
        <v>11010</v>
      </c>
      <c r="C81" s="309" t="s">
        <v>1079</v>
      </c>
      <c r="D81" s="332"/>
      <c r="E81" s="323">
        <v>34697.4</v>
      </c>
      <c r="F81" s="317">
        <v>34697.4</v>
      </c>
      <c r="G81" s="317">
        <v>34697.4</v>
      </c>
      <c r="H81" s="318">
        <v>34697.4</v>
      </c>
      <c r="I81" s="313"/>
    </row>
    <row r="82" spans="1:77" s="347" customFormat="1" ht="67.5">
      <c r="A82" s="7">
        <v>1213</v>
      </c>
      <c r="B82" s="316">
        <v>11011</v>
      </c>
      <c r="C82" s="309" t="s">
        <v>1080</v>
      </c>
      <c r="D82" s="332"/>
      <c r="E82" s="323">
        <v>326223</v>
      </c>
      <c r="F82" s="317">
        <v>326223</v>
      </c>
      <c r="G82" s="317">
        <v>326223</v>
      </c>
      <c r="H82" s="318">
        <v>326223</v>
      </c>
      <c r="I82" s="334"/>
    </row>
    <row r="83" spans="1:77" s="347" customFormat="1" ht="27">
      <c r="A83" s="7">
        <v>1213</v>
      </c>
      <c r="B83" s="316">
        <v>11012</v>
      </c>
      <c r="C83" s="309" t="s">
        <v>1081</v>
      </c>
      <c r="D83" s="332"/>
      <c r="E83" s="323">
        <v>20260</v>
      </c>
      <c r="F83" s="317">
        <v>20260</v>
      </c>
      <c r="G83" s="317">
        <v>20260</v>
      </c>
      <c r="H83" s="318">
        <v>20260</v>
      </c>
      <c r="I83" s="331"/>
    </row>
    <row r="84" spans="1:77" s="347" customFormat="1" ht="54">
      <c r="A84" s="7">
        <v>1213</v>
      </c>
      <c r="B84" s="316">
        <v>11013</v>
      </c>
      <c r="C84" s="309" t="s">
        <v>1082</v>
      </c>
      <c r="D84" s="332"/>
      <c r="E84" s="323">
        <v>27810</v>
      </c>
      <c r="F84" s="317">
        <v>27810</v>
      </c>
      <c r="G84" s="317">
        <v>27810</v>
      </c>
      <c r="H84" s="318">
        <v>27810</v>
      </c>
      <c r="I84" s="333"/>
    </row>
    <row r="85" spans="1:77" s="347" customFormat="1" ht="27">
      <c r="A85" s="7">
        <v>1213</v>
      </c>
      <c r="B85" s="316">
        <v>11014</v>
      </c>
      <c r="C85" s="309" t="s">
        <v>1083</v>
      </c>
      <c r="D85" s="332"/>
      <c r="E85" s="323">
        <v>55825</v>
      </c>
      <c r="F85" s="317">
        <v>55825</v>
      </c>
      <c r="G85" s="317">
        <v>55825</v>
      </c>
      <c r="H85" s="318">
        <v>55825</v>
      </c>
      <c r="I85" s="313"/>
    </row>
    <row r="86" spans="1:77" s="347" customFormat="1" ht="40.5">
      <c r="A86" s="7">
        <v>1213</v>
      </c>
      <c r="B86" s="316">
        <v>11015</v>
      </c>
      <c r="C86" s="324" t="s">
        <v>1084</v>
      </c>
      <c r="D86" s="332"/>
      <c r="E86" s="323">
        <v>44700</v>
      </c>
      <c r="F86" s="317">
        <v>44700</v>
      </c>
      <c r="G86" s="317">
        <v>44700</v>
      </c>
      <c r="H86" s="318">
        <v>44700</v>
      </c>
      <c r="I86" s="313"/>
    </row>
    <row r="87" spans="1:77" s="348" customFormat="1" ht="25.5" customHeight="1">
      <c r="A87" s="294">
        <v>1214</v>
      </c>
      <c r="B87" s="627" t="s">
        <v>1085</v>
      </c>
      <c r="C87" s="628"/>
      <c r="D87" s="354">
        <f>SUM(D88:D90)</f>
        <v>0</v>
      </c>
      <c r="E87" s="354">
        <f>SUM(E88:E90)</f>
        <v>91908</v>
      </c>
      <c r="F87" s="354">
        <f t="shared" ref="F87:H87" si="8">SUM(F88:F90)</f>
        <v>0</v>
      </c>
      <c r="G87" s="354">
        <f t="shared" si="8"/>
        <v>0</v>
      </c>
      <c r="H87" s="354">
        <f t="shared" si="8"/>
        <v>0</v>
      </c>
      <c r="I87" s="315"/>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O87" s="347"/>
      <c r="BP87" s="347"/>
      <c r="BQ87" s="347"/>
      <c r="BR87" s="347"/>
      <c r="BS87" s="347"/>
      <c r="BT87" s="347"/>
      <c r="BU87" s="347"/>
      <c r="BV87" s="347"/>
      <c r="BW87" s="347"/>
      <c r="BX87" s="347"/>
      <c r="BY87" s="347"/>
    </row>
    <row r="88" spans="1:77" s="347" customFormat="1" ht="54">
      <c r="A88" s="7">
        <v>1214</v>
      </c>
      <c r="B88" s="335">
        <v>11001</v>
      </c>
      <c r="C88" s="329" t="s">
        <v>1086</v>
      </c>
      <c r="D88" s="336"/>
      <c r="E88" s="330">
        <v>0</v>
      </c>
      <c r="F88" s="336"/>
      <c r="G88" s="336"/>
      <c r="H88" s="356"/>
      <c r="I88" s="331"/>
    </row>
    <row r="89" spans="1:77" s="347" customFormat="1" ht="67.5">
      <c r="A89" s="7">
        <v>1214</v>
      </c>
      <c r="B89" s="308">
        <v>11002</v>
      </c>
      <c r="C89" s="309" t="s">
        <v>1087</v>
      </c>
      <c r="D89" s="336"/>
      <c r="E89" s="311">
        <v>0</v>
      </c>
      <c r="F89" s="337"/>
      <c r="G89" s="337"/>
      <c r="H89" s="338"/>
      <c r="I89" s="313"/>
    </row>
    <row r="90" spans="1:77" s="347" customFormat="1" ht="67.5">
      <c r="A90" s="7">
        <v>1214</v>
      </c>
      <c r="B90" s="321">
        <v>11003</v>
      </c>
      <c r="C90" s="309" t="s">
        <v>1088</v>
      </c>
      <c r="D90" s="336"/>
      <c r="E90" s="311">
        <v>91908</v>
      </c>
      <c r="F90" s="332"/>
      <c r="G90" s="332"/>
      <c r="H90" s="339"/>
      <c r="I90" s="313"/>
    </row>
    <row r="91" spans="1:77" s="348" customFormat="1">
      <c r="A91" s="294">
        <v>1221</v>
      </c>
      <c r="B91" s="627" t="s">
        <v>1089</v>
      </c>
      <c r="C91" s="628"/>
      <c r="D91" s="357">
        <f>SUM(D92:D94)</f>
        <v>0</v>
      </c>
      <c r="E91" s="357">
        <f>SUM(E92:E94)</f>
        <v>234304</v>
      </c>
      <c r="F91" s="357">
        <f t="shared" ref="F91:H91" si="9">SUM(F92:F94)</f>
        <v>234304</v>
      </c>
      <c r="G91" s="357">
        <f t="shared" si="9"/>
        <v>234304</v>
      </c>
      <c r="H91" s="357">
        <f t="shared" si="9"/>
        <v>234304</v>
      </c>
      <c r="I91" s="315"/>
      <c r="J91" s="347"/>
      <c r="K91" s="347"/>
      <c r="L91" s="347"/>
      <c r="M91" s="347"/>
      <c r="N91" s="347"/>
      <c r="O91" s="347"/>
      <c r="P91" s="347"/>
      <c r="Q91" s="347"/>
      <c r="R91" s="347"/>
      <c r="S91" s="347"/>
      <c r="T91" s="347"/>
      <c r="U91" s="347"/>
      <c r="V91" s="347"/>
      <c r="W91" s="347"/>
      <c r="X91" s="347"/>
      <c r="Y91" s="347"/>
      <c r="Z91" s="347"/>
      <c r="AA91" s="347"/>
      <c r="AB91" s="347"/>
      <c r="AC91" s="347"/>
      <c r="AD91" s="347"/>
      <c r="AE91" s="347"/>
      <c r="AF91" s="347"/>
      <c r="AG91" s="347"/>
      <c r="AH91" s="347"/>
      <c r="AI91" s="347"/>
      <c r="AJ91" s="347"/>
      <c r="AK91" s="347"/>
      <c r="AL91" s="347"/>
      <c r="AM91" s="347"/>
      <c r="AN91" s="347"/>
      <c r="AO91" s="347"/>
      <c r="AP91" s="347"/>
      <c r="AQ91" s="347"/>
      <c r="AR91" s="347"/>
      <c r="AS91" s="347"/>
      <c r="AT91" s="347"/>
      <c r="AU91" s="347"/>
      <c r="AV91" s="347"/>
      <c r="AW91" s="347"/>
      <c r="AX91" s="347"/>
      <c r="AY91" s="347"/>
      <c r="AZ91" s="347"/>
      <c r="BA91" s="347"/>
      <c r="BB91" s="347"/>
      <c r="BC91" s="347"/>
      <c r="BD91" s="347"/>
      <c r="BE91" s="347"/>
      <c r="BF91" s="347"/>
      <c r="BG91" s="347"/>
      <c r="BH91" s="347"/>
      <c r="BI91" s="347"/>
      <c r="BJ91" s="347"/>
      <c r="BK91" s="347"/>
      <c r="BL91" s="347"/>
      <c r="BM91" s="347"/>
      <c r="BN91" s="347"/>
      <c r="BO91" s="347"/>
      <c r="BP91" s="347"/>
      <c r="BQ91" s="347"/>
      <c r="BR91" s="347"/>
      <c r="BS91" s="347"/>
      <c r="BT91" s="347"/>
      <c r="BU91" s="347"/>
      <c r="BV91" s="347"/>
      <c r="BW91" s="347"/>
      <c r="BX91" s="347"/>
      <c r="BY91" s="347"/>
    </row>
    <row r="92" spans="1:77" s="347" customFormat="1" ht="40.5">
      <c r="A92" s="295">
        <v>1221</v>
      </c>
      <c r="B92" s="316">
        <v>11001</v>
      </c>
      <c r="C92" s="340" t="s">
        <v>1090</v>
      </c>
      <c r="D92" s="341"/>
      <c r="E92" s="311"/>
      <c r="F92" s="342"/>
      <c r="G92" s="342"/>
      <c r="H92" s="343"/>
      <c r="I92" s="313"/>
    </row>
    <row r="93" spans="1:77" s="347" customFormat="1">
      <c r="A93" s="295">
        <v>1221</v>
      </c>
      <c r="B93" s="316">
        <v>11002</v>
      </c>
      <c r="C93" s="309" t="s">
        <v>1091</v>
      </c>
      <c r="D93" s="341"/>
      <c r="E93" s="319">
        <v>40000</v>
      </c>
      <c r="F93" s="319">
        <v>40000</v>
      </c>
      <c r="G93" s="319">
        <v>40000</v>
      </c>
      <c r="H93" s="319">
        <v>40000</v>
      </c>
      <c r="I93" s="313"/>
    </row>
    <row r="94" spans="1:77" s="347" customFormat="1" ht="27">
      <c r="A94" s="295">
        <v>1221</v>
      </c>
      <c r="B94" s="316">
        <v>11003</v>
      </c>
      <c r="C94" s="309" t="s">
        <v>1092</v>
      </c>
      <c r="D94" s="341"/>
      <c r="E94" s="319">
        <v>194304</v>
      </c>
      <c r="F94" s="319">
        <v>194304</v>
      </c>
      <c r="G94" s="319">
        <v>194304</v>
      </c>
      <c r="H94" s="319">
        <v>194304</v>
      </c>
      <c r="I94" s="313"/>
    </row>
    <row r="95" spans="1:77" s="348" customFormat="1">
      <c r="A95" s="353">
        <v>1222</v>
      </c>
      <c r="B95" s="633" t="s">
        <v>1093</v>
      </c>
      <c r="C95" s="634"/>
      <c r="D95" s="354">
        <f>D96+D97+D98</f>
        <v>0</v>
      </c>
      <c r="E95" s="354">
        <f>E96+E97+E98</f>
        <v>300000.09999999998</v>
      </c>
      <c r="F95" s="354">
        <f t="shared" ref="F95:H95" si="10">F96+F97+F98</f>
        <v>300000.09999999998</v>
      </c>
      <c r="G95" s="354">
        <f t="shared" si="10"/>
        <v>300000.09999999998</v>
      </c>
      <c r="H95" s="354">
        <f t="shared" si="10"/>
        <v>300000.09999999998</v>
      </c>
      <c r="I95" s="344"/>
      <c r="J95" s="347"/>
      <c r="K95" s="347"/>
      <c r="L95" s="347"/>
      <c r="M95" s="347"/>
      <c r="N95" s="347"/>
      <c r="O95" s="347"/>
      <c r="P95" s="347"/>
      <c r="Q95" s="347"/>
      <c r="R95" s="347"/>
      <c r="S95" s="347"/>
      <c r="T95" s="347"/>
      <c r="U95" s="347"/>
      <c r="V95" s="347"/>
      <c r="W95" s="347"/>
      <c r="X95" s="347"/>
      <c r="Y95" s="347"/>
      <c r="Z95" s="347"/>
      <c r="AA95" s="347"/>
      <c r="AB95" s="347"/>
      <c r="AC95" s="347"/>
      <c r="AD95" s="347"/>
      <c r="AE95" s="347"/>
      <c r="AF95" s="347"/>
      <c r="AG95" s="347"/>
      <c r="AH95" s="347"/>
      <c r="AI95" s="347"/>
      <c r="AJ95" s="347"/>
      <c r="AK95" s="347"/>
      <c r="AL95" s="347"/>
      <c r="AM95" s="347"/>
      <c r="AN95" s="347"/>
      <c r="AO95" s="347"/>
      <c r="AP95" s="347"/>
      <c r="AQ95" s="347"/>
      <c r="AR95" s="347"/>
      <c r="AS95" s="347"/>
      <c r="AT95" s="347"/>
      <c r="AU95" s="347"/>
      <c r="AV95" s="347"/>
      <c r="AW95" s="347"/>
      <c r="AX95" s="347"/>
      <c r="AY95" s="347"/>
      <c r="AZ95" s="347"/>
      <c r="BA95" s="347"/>
      <c r="BB95" s="347"/>
      <c r="BC95" s="347"/>
      <c r="BD95" s="347"/>
      <c r="BE95" s="347"/>
      <c r="BF95" s="347"/>
      <c r="BG95" s="347"/>
      <c r="BH95" s="347"/>
      <c r="BI95" s="347"/>
      <c r="BJ95" s="347"/>
      <c r="BK95" s="347"/>
      <c r="BL95" s="347"/>
      <c r="BM95" s="347"/>
      <c r="BN95" s="347"/>
      <c r="BO95" s="347"/>
      <c r="BP95" s="347"/>
      <c r="BQ95" s="347"/>
      <c r="BR95" s="347"/>
      <c r="BS95" s="347"/>
      <c r="BT95" s="347"/>
      <c r="BU95" s="347"/>
      <c r="BV95" s="347"/>
      <c r="BW95" s="347"/>
      <c r="BX95" s="347"/>
      <c r="BY95" s="347"/>
    </row>
    <row r="96" spans="1:77" s="347" customFormat="1" ht="40.5">
      <c r="A96" s="7">
        <v>1222</v>
      </c>
      <c r="B96" s="316">
        <v>11001</v>
      </c>
      <c r="C96" s="309" t="s">
        <v>1094</v>
      </c>
      <c r="D96" s="341"/>
      <c r="E96" s="311"/>
      <c r="F96" s="311"/>
      <c r="G96" s="311"/>
      <c r="H96" s="311"/>
      <c r="I96" s="313"/>
    </row>
    <row r="97" spans="1:77" s="347" customFormat="1" ht="27">
      <c r="A97" s="7">
        <v>1222</v>
      </c>
      <c r="B97" s="316">
        <v>11003</v>
      </c>
      <c r="C97" s="309" t="s">
        <v>1095</v>
      </c>
      <c r="D97" s="341"/>
      <c r="E97" s="311">
        <v>280000.09999999998</v>
      </c>
      <c r="F97" s="311">
        <v>280000.09999999998</v>
      </c>
      <c r="G97" s="311">
        <v>280000.09999999998</v>
      </c>
      <c r="H97" s="311">
        <v>280000.09999999998</v>
      </c>
      <c r="I97" s="313"/>
    </row>
    <row r="98" spans="1:77" s="347" customFormat="1" ht="40.5">
      <c r="A98" s="7">
        <v>1222</v>
      </c>
      <c r="B98" s="316">
        <v>11004</v>
      </c>
      <c r="C98" s="309" t="s">
        <v>1096</v>
      </c>
      <c r="D98" s="341"/>
      <c r="E98" s="311">
        <v>20000</v>
      </c>
      <c r="F98" s="311">
        <v>20000</v>
      </c>
      <c r="G98" s="311">
        <v>20000</v>
      </c>
      <c r="H98" s="311">
        <v>20000</v>
      </c>
      <c r="I98" s="313"/>
    </row>
    <row r="99" spans="1:77" s="348" customFormat="1" ht="48" customHeight="1">
      <c r="A99" s="294">
        <v>1223</v>
      </c>
      <c r="B99" s="633" t="s">
        <v>1097</v>
      </c>
      <c r="C99" s="634"/>
      <c r="D99" s="354">
        <f>D100+D101</f>
        <v>0</v>
      </c>
      <c r="E99" s="354">
        <f>E100+E101</f>
        <v>4046296.6</v>
      </c>
      <c r="F99" s="354">
        <f t="shared" ref="F99:H99" si="11">F100+F101</f>
        <v>4046296.6</v>
      </c>
      <c r="G99" s="354">
        <f t="shared" si="11"/>
        <v>4046296.6</v>
      </c>
      <c r="H99" s="354">
        <f t="shared" si="11"/>
        <v>4046296.6</v>
      </c>
      <c r="I99" s="315"/>
      <c r="J99" s="347"/>
      <c r="K99" s="347"/>
      <c r="L99" s="347"/>
      <c r="M99" s="347"/>
      <c r="N99" s="347"/>
      <c r="O99" s="347"/>
      <c r="P99" s="347"/>
      <c r="Q99" s="347"/>
      <c r="R99" s="347"/>
      <c r="S99" s="347"/>
      <c r="T99" s="347"/>
      <c r="U99" s="347"/>
      <c r="V99" s="347"/>
      <c r="W99" s="347"/>
      <c r="X99" s="347"/>
      <c r="Y99" s="347"/>
      <c r="Z99" s="347"/>
      <c r="AA99" s="347"/>
      <c r="AB99" s="347"/>
      <c r="AC99" s="347"/>
      <c r="AD99" s="347"/>
      <c r="AE99" s="347"/>
      <c r="AF99" s="347"/>
      <c r="AG99" s="347"/>
      <c r="AH99" s="347"/>
      <c r="AI99" s="347"/>
      <c r="AJ99" s="347"/>
      <c r="AK99" s="347"/>
      <c r="AL99" s="347"/>
      <c r="AM99" s="347"/>
      <c r="AN99" s="347"/>
      <c r="AO99" s="347"/>
      <c r="AP99" s="347"/>
      <c r="AQ99" s="347"/>
      <c r="AR99" s="347"/>
      <c r="AS99" s="347"/>
      <c r="AT99" s="347"/>
      <c r="AU99" s="347"/>
      <c r="AV99" s="347"/>
      <c r="AW99" s="347"/>
      <c r="AX99" s="347"/>
      <c r="AY99" s="347"/>
      <c r="AZ99" s="347"/>
      <c r="BA99" s="347"/>
      <c r="BB99" s="347"/>
      <c r="BC99" s="347"/>
      <c r="BD99" s="347"/>
      <c r="BE99" s="347"/>
      <c r="BF99" s="347"/>
      <c r="BG99" s="347"/>
      <c r="BH99" s="347"/>
      <c r="BI99" s="347"/>
      <c r="BJ99" s="347"/>
      <c r="BK99" s="347"/>
      <c r="BL99" s="347"/>
      <c r="BM99" s="347"/>
      <c r="BN99" s="347"/>
      <c r="BO99" s="347"/>
      <c r="BP99" s="347"/>
      <c r="BQ99" s="347"/>
      <c r="BR99" s="347"/>
      <c r="BS99" s="347"/>
      <c r="BT99" s="347"/>
      <c r="BU99" s="347"/>
      <c r="BV99" s="347"/>
      <c r="BW99" s="347"/>
      <c r="BX99" s="347"/>
      <c r="BY99" s="347"/>
    </row>
    <row r="100" spans="1:77" s="347" customFormat="1" ht="54">
      <c r="A100" s="7">
        <v>1223</v>
      </c>
      <c r="B100" s="321">
        <v>11001</v>
      </c>
      <c r="C100" s="309" t="s">
        <v>1098</v>
      </c>
      <c r="D100" s="341"/>
      <c r="E100" s="311">
        <v>3723896.1</v>
      </c>
      <c r="F100" s="311">
        <v>3723896.1</v>
      </c>
      <c r="G100" s="311">
        <v>3723896.1</v>
      </c>
      <c r="H100" s="311">
        <v>3723896.1</v>
      </c>
      <c r="I100" s="313"/>
    </row>
    <row r="101" spans="1:77" s="347" customFormat="1" ht="40.5">
      <c r="A101" s="7">
        <v>1223</v>
      </c>
      <c r="B101" s="321">
        <v>12002</v>
      </c>
      <c r="C101" s="309" t="s">
        <v>1099</v>
      </c>
      <c r="D101" s="341"/>
      <c r="E101" s="311">
        <v>322400.5</v>
      </c>
      <c r="F101" s="311">
        <v>322400.5</v>
      </c>
      <c r="G101" s="311">
        <v>322400.5</v>
      </c>
      <c r="H101" s="311">
        <v>322400.5</v>
      </c>
      <c r="I101" s="313"/>
    </row>
    <row r="102" spans="1:77" s="347" customFormat="1">
      <c r="A102" s="81"/>
      <c r="B102" s="345"/>
      <c r="C102" s="309" t="s">
        <v>1100</v>
      </c>
      <c r="D102" s="341"/>
      <c r="E102" s="311"/>
      <c r="F102" s="311"/>
      <c r="G102" s="311"/>
      <c r="H102" s="311"/>
      <c r="I102" s="313"/>
    </row>
    <row r="103" spans="1:77" s="347" customFormat="1">
      <c r="A103" s="624" t="s">
        <v>9</v>
      </c>
      <c r="B103" s="625"/>
      <c r="C103" s="626"/>
      <c r="D103" s="352">
        <f>D104+D108+D116</f>
        <v>0</v>
      </c>
      <c r="E103" s="352">
        <f>E104+E108+E116</f>
        <v>3944654.3</v>
      </c>
      <c r="F103" s="352">
        <f t="shared" ref="F103:H103" si="12">F104+F108+F116</f>
        <v>3189314.4</v>
      </c>
      <c r="G103" s="352">
        <f t="shared" si="12"/>
        <v>3402561.6</v>
      </c>
      <c r="H103" s="352">
        <f t="shared" si="12"/>
        <v>2290959.6</v>
      </c>
      <c r="I103" s="346"/>
    </row>
    <row r="104" spans="1:77" s="347" customFormat="1">
      <c r="A104" s="353">
        <v>1018</v>
      </c>
      <c r="B104" s="627" t="s">
        <v>1029</v>
      </c>
      <c r="C104" s="628"/>
      <c r="D104" s="354">
        <f>SUM(D105:D107)</f>
        <v>0</v>
      </c>
      <c r="E104" s="354">
        <f>SUM(E105:E107)</f>
        <v>3556005.5999999996</v>
      </c>
      <c r="F104" s="354">
        <f t="shared" ref="F104:H104" si="13">SUM(F105:F107)</f>
        <v>2786705.4</v>
      </c>
      <c r="G104" s="354">
        <f t="shared" si="13"/>
        <v>2985752.6</v>
      </c>
      <c r="H104" s="358">
        <f t="shared" si="13"/>
        <v>1888350.6</v>
      </c>
      <c r="I104" s="346"/>
    </row>
    <row r="105" spans="1:77" s="347" customFormat="1" ht="81">
      <c r="A105" s="7">
        <v>1018</v>
      </c>
      <c r="B105" s="308">
        <v>32001</v>
      </c>
      <c r="C105" s="309" t="s">
        <v>1101</v>
      </c>
      <c r="D105" s="310"/>
      <c r="E105" s="323">
        <v>0</v>
      </c>
      <c r="F105" s="312"/>
      <c r="G105" s="312"/>
      <c r="H105" s="349"/>
      <c r="I105" s="346"/>
    </row>
    <row r="106" spans="1:77" s="347" customFormat="1" ht="81">
      <c r="A106" s="7">
        <v>1018</v>
      </c>
      <c r="B106" s="308">
        <v>32003</v>
      </c>
      <c r="C106" s="309" t="s">
        <v>1102</v>
      </c>
      <c r="D106" s="310"/>
      <c r="E106" s="314">
        <v>3556005.5999999996</v>
      </c>
      <c r="F106" s="312">
        <v>2786705.4</v>
      </c>
      <c r="G106" s="312">
        <v>2985752.6</v>
      </c>
      <c r="H106" s="312">
        <v>1888350.6</v>
      </c>
      <c r="I106" s="346"/>
    </row>
    <row r="107" spans="1:77" s="347" customFormat="1" ht="54">
      <c r="A107" s="7">
        <v>1018</v>
      </c>
      <c r="B107" s="308">
        <v>32002</v>
      </c>
      <c r="C107" s="309" t="s">
        <v>1103</v>
      </c>
      <c r="D107" s="310"/>
      <c r="E107" s="311">
        <v>0</v>
      </c>
      <c r="F107" s="312"/>
      <c r="G107" s="312"/>
      <c r="H107" s="312"/>
      <c r="I107" s="346"/>
    </row>
    <row r="108" spans="1:77" s="347" customFormat="1">
      <c r="A108" s="294">
        <v>1136</v>
      </c>
      <c r="B108" s="627" t="s">
        <v>1051</v>
      </c>
      <c r="C108" s="628"/>
      <c r="D108" s="354">
        <f>SUM(D109:D115)</f>
        <v>0</v>
      </c>
      <c r="E108" s="354">
        <f>SUM(E109:E115)</f>
        <v>155179</v>
      </c>
      <c r="F108" s="354">
        <f>SUM(F109:F115)</f>
        <v>283179</v>
      </c>
      <c r="G108" s="354">
        <f>SUM(G109:G115)</f>
        <v>283179</v>
      </c>
      <c r="H108" s="354">
        <f>SUM(H109:H115)</f>
        <v>283179</v>
      </c>
      <c r="I108" s="346"/>
    </row>
    <row r="109" spans="1:77" s="347" customFormat="1" ht="108">
      <c r="A109" s="7">
        <v>1136</v>
      </c>
      <c r="B109" s="308">
        <v>31001</v>
      </c>
      <c r="C109" s="309" t="s">
        <v>1104</v>
      </c>
      <c r="D109" s="310"/>
      <c r="E109" s="323">
        <v>130179</v>
      </c>
      <c r="F109" s="323">
        <v>130179</v>
      </c>
      <c r="G109" s="323">
        <v>130179</v>
      </c>
      <c r="H109" s="323">
        <v>130179</v>
      </c>
      <c r="I109" s="346"/>
    </row>
    <row r="110" spans="1:77" s="347" customFormat="1" ht="27">
      <c r="A110" s="7">
        <v>1136</v>
      </c>
      <c r="B110" s="308">
        <v>31002</v>
      </c>
      <c r="C110" s="309" t="s">
        <v>1105</v>
      </c>
      <c r="D110" s="310"/>
      <c r="E110" s="323">
        <v>25000</v>
      </c>
      <c r="F110" s="312">
        <v>80000</v>
      </c>
      <c r="G110" s="312">
        <v>80000</v>
      </c>
      <c r="H110" s="312">
        <v>80000</v>
      </c>
      <c r="I110" s="346"/>
    </row>
    <row r="111" spans="1:77" s="347" customFormat="1" ht="67.5">
      <c r="A111" s="7">
        <v>1136</v>
      </c>
      <c r="B111" s="308">
        <v>31003</v>
      </c>
      <c r="C111" s="309" t="s">
        <v>346</v>
      </c>
      <c r="D111" s="310"/>
      <c r="E111" s="311">
        <v>0</v>
      </c>
      <c r="F111" s="312"/>
      <c r="G111" s="312"/>
      <c r="H111" s="312"/>
      <c r="I111" s="346"/>
    </row>
    <row r="112" spans="1:77" s="347" customFormat="1" ht="67.5">
      <c r="A112" s="7">
        <v>1136</v>
      </c>
      <c r="B112" s="308">
        <v>31004</v>
      </c>
      <c r="C112" s="309" t="s">
        <v>1106</v>
      </c>
      <c r="D112" s="310"/>
      <c r="E112" s="311">
        <v>0</v>
      </c>
      <c r="F112" s="312"/>
      <c r="G112" s="312"/>
      <c r="H112" s="312"/>
      <c r="I112" s="346"/>
    </row>
    <row r="113" spans="1:9" s="347" customFormat="1" ht="40.5">
      <c r="A113" s="7">
        <v>1136</v>
      </c>
      <c r="B113" s="308">
        <v>31005</v>
      </c>
      <c r="C113" s="309" t="s">
        <v>1107</v>
      </c>
      <c r="D113" s="310"/>
      <c r="E113" s="311"/>
      <c r="F113" s="330">
        <v>5000</v>
      </c>
      <c r="G113" s="330">
        <v>5000</v>
      </c>
      <c r="H113" s="330">
        <v>5000</v>
      </c>
      <c r="I113" s="346"/>
    </row>
    <row r="114" spans="1:9" s="347" customFormat="1" ht="40.5">
      <c r="A114" s="7">
        <v>1136</v>
      </c>
      <c r="B114" s="308">
        <v>31009</v>
      </c>
      <c r="C114" s="309" t="s">
        <v>1108</v>
      </c>
      <c r="D114" s="310"/>
      <c r="E114" s="311"/>
      <c r="F114" s="330">
        <v>31800</v>
      </c>
      <c r="G114" s="330">
        <v>31800</v>
      </c>
      <c r="H114" s="330">
        <v>31800</v>
      </c>
      <c r="I114" s="346"/>
    </row>
    <row r="115" spans="1:9" s="347" customFormat="1" ht="27">
      <c r="A115" s="7">
        <v>1136</v>
      </c>
      <c r="B115" s="308">
        <v>32001</v>
      </c>
      <c r="C115" s="309" t="s">
        <v>1109</v>
      </c>
      <c r="D115" s="310"/>
      <c r="E115" s="311"/>
      <c r="F115" s="330">
        <v>36200</v>
      </c>
      <c r="G115" s="330">
        <v>36200</v>
      </c>
      <c r="H115" s="330">
        <v>36200</v>
      </c>
      <c r="I115" s="346"/>
    </row>
    <row r="116" spans="1:9" s="347" customFormat="1">
      <c r="A116" s="353">
        <v>1213</v>
      </c>
      <c r="B116" s="629" t="s">
        <v>1071</v>
      </c>
      <c r="C116" s="630"/>
      <c r="D116" s="355">
        <f>SUM(D117:D125)</f>
        <v>0</v>
      </c>
      <c r="E116" s="355">
        <f>SUM(E117:E125)</f>
        <v>233469.7</v>
      </c>
      <c r="F116" s="355">
        <f>SUM(F117:F125)</f>
        <v>119430</v>
      </c>
      <c r="G116" s="355">
        <f>SUM(G117:G125)</f>
        <v>133630</v>
      </c>
      <c r="H116" s="355">
        <f>SUM(H117:H125)</f>
        <v>119430</v>
      </c>
      <c r="I116" s="346"/>
    </row>
    <row r="117" spans="1:9" s="347" customFormat="1" ht="40.5">
      <c r="A117" s="7">
        <v>1213</v>
      </c>
      <c r="B117" s="316">
        <v>31001</v>
      </c>
      <c r="C117" s="309" t="s">
        <v>1110</v>
      </c>
      <c r="D117" s="332"/>
      <c r="E117" s="323">
        <v>58130</v>
      </c>
      <c r="F117" s="317">
        <v>58130</v>
      </c>
      <c r="G117" s="317">
        <v>58130</v>
      </c>
      <c r="H117" s="317">
        <v>58130</v>
      </c>
      <c r="I117" s="346"/>
    </row>
    <row r="118" spans="1:9" s="347" customFormat="1" ht="40.5">
      <c r="A118" s="7">
        <v>1213</v>
      </c>
      <c r="B118" s="316">
        <v>31002</v>
      </c>
      <c r="C118" s="309" t="s">
        <v>1111</v>
      </c>
      <c r="D118" s="332"/>
      <c r="E118" s="323">
        <v>4748.7</v>
      </c>
      <c r="F118" s="317">
        <v>2500</v>
      </c>
      <c r="G118" s="317">
        <v>2500</v>
      </c>
      <c r="H118" s="317">
        <v>2500</v>
      </c>
      <c r="I118" s="346"/>
    </row>
    <row r="119" spans="1:9" s="347" customFormat="1" ht="40.5">
      <c r="A119" s="7">
        <v>1213</v>
      </c>
      <c r="B119" s="316">
        <v>31003</v>
      </c>
      <c r="C119" s="309" t="s">
        <v>1112</v>
      </c>
      <c r="D119" s="332"/>
      <c r="E119" s="323">
        <v>74770</v>
      </c>
      <c r="F119" s="317">
        <v>0</v>
      </c>
      <c r="G119" s="317">
        <v>0</v>
      </c>
      <c r="H119" s="317"/>
      <c r="I119" s="346"/>
    </row>
    <row r="120" spans="1:9" s="347" customFormat="1" ht="54">
      <c r="A120" s="7">
        <v>1213</v>
      </c>
      <c r="B120" s="316">
        <v>31004</v>
      </c>
      <c r="C120" s="309" t="s">
        <v>1113</v>
      </c>
      <c r="D120" s="332"/>
      <c r="E120" s="323">
        <v>12800</v>
      </c>
      <c r="F120" s="317">
        <v>12800</v>
      </c>
      <c r="G120" s="317">
        <v>25000</v>
      </c>
      <c r="H120" s="317">
        <v>12800</v>
      </c>
      <c r="I120" s="346"/>
    </row>
    <row r="121" spans="1:9" s="347" customFormat="1" ht="81">
      <c r="A121" s="7">
        <v>1213</v>
      </c>
      <c r="B121" s="328">
        <v>31005</v>
      </c>
      <c r="C121" s="329" t="s">
        <v>1114</v>
      </c>
      <c r="D121" s="332"/>
      <c r="E121" s="325">
        <v>22793</v>
      </c>
      <c r="F121" s="326">
        <v>3000</v>
      </c>
      <c r="G121" s="326">
        <v>5000</v>
      </c>
      <c r="H121" s="326">
        <v>3000</v>
      </c>
      <c r="I121" s="346"/>
    </row>
    <row r="122" spans="1:9" s="347" customFormat="1" ht="40.5">
      <c r="A122" s="7">
        <v>1213</v>
      </c>
      <c r="B122" s="316">
        <v>31006</v>
      </c>
      <c r="C122" s="309" t="s">
        <v>1115</v>
      </c>
      <c r="D122" s="326"/>
      <c r="E122" s="323">
        <v>43228</v>
      </c>
      <c r="F122" s="317">
        <v>43000</v>
      </c>
      <c r="G122" s="317">
        <v>43000</v>
      </c>
      <c r="H122" s="317">
        <v>43000</v>
      </c>
      <c r="I122" s="346"/>
    </row>
    <row r="123" spans="1:9" s="347" customFormat="1" ht="27">
      <c r="A123" s="7">
        <v>1213</v>
      </c>
      <c r="B123" s="321">
        <v>31007</v>
      </c>
      <c r="C123" s="309" t="s">
        <v>1116</v>
      </c>
      <c r="D123" s="326"/>
      <c r="E123" s="323">
        <v>17000</v>
      </c>
      <c r="F123" s="317"/>
      <c r="G123" s="317"/>
      <c r="H123" s="317"/>
      <c r="I123" s="346"/>
    </row>
    <row r="124" spans="1:9" s="347" customFormat="1" ht="54">
      <c r="A124" s="7">
        <v>1213</v>
      </c>
      <c r="B124" s="316">
        <v>31008</v>
      </c>
      <c r="C124" s="309" t="s">
        <v>1117</v>
      </c>
      <c r="D124" s="326"/>
      <c r="E124" s="323"/>
      <c r="F124" s="317"/>
      <c r="G124" s="317"/>
      <c r="H124" s="317"/>
      <c r="I124" s="346"/>
    </row>
    <row r="125" spans="1:9" s="347" customFormat="1" ht="40.5">
      <c r="A125" s="7">
        <v>1213</v>
      </c>
      <c r="B125" s="316">
        <v>31009</v>
      </c>
      <c r="C125" s="309" t="s">
        <v>1118</v>
      </c>
      <c r="D125" s="326"/>
      <c r="E125" s="323"/>
      <c r="F125" s="317"/>
      <c r="G125" s="317"/>
      <c r="H125" s="317"/>
      <c r="I125" s="346"/>
    </row>
    <row r="126" spans="1:9">
      <c r="A126" s="157" t="s">
        <v>17</v>
      </c>
      <c r="B126" s="710" t="s">
        <v>21</v>
      </c>
      <c r="C126" s="711"/>
      <c r="D126" s="176">
        <v>0</v>
      </c>
      <c r="E126" s="176">
        <v>0</v>
      </c>
      <c r="F126" s="176">
        <v>0</v>
      </c>
      <c r="G126" s="176">
        <v>0</v>
      </c>
      <c r="H126" s="176">
        <v>0</v>
      </c>
      <c r="I126" s="112" t="s">
        <v>178</v>
      </c>
    </row>
    <row r="127" spans="1:9" ht="27" customHeight="1">
      <c r="A127" s="157" t="s">
        <v>17</v>
      </c>
      <c r="B127" s="710" t="s">
        <v>22</v>
      </c>
      <c r="C127" s="711"/>
      <c r="D127" s="176">
        <f>D128+D153</f>
        <v>16784821.460000001</v>
      </c>
      <c r="E127" s="176">
        <f>E128+E153</f>
        <v>19173734.715999998</v>
      </c>
      <c r="F127" s="176">
        <f>F128+F153</f>
        <v>21678175.828193799</v>
      </c>
      <c r="G127" s="176">
        <f>G128+G153</f>
        <v>20697551.336225491</v>
      </c>
      <c r="H127" s="176">
        <f>H128+H153</f>
        <v>19399160.443178765</v>
      </c>
      <c r="I127" s="112"/>
    </row>
    <row r="128" spans="1:9">
      <c r="A128" s="698" t="s">
        <v>8</v>
      </c>
      <c r="B128" s="699"/>
      <c r="C128" s="700"/>
      <c r="D128" s="177">
        <f>D129</f>
        <v>16188422.950000001</v>
      </c>
      <c r="E128" s="177">
        <f>E129</f>
        <v>18080959.115999997</v>
      </c>
      <c r="F128" s="177">
        <f>F129</f>
        <v>18728680.328193799</v>
      </c>
      <c r="G128" s="177">
        <f>G129</f>
        <v>18864984.836225491</v>
      </c>
      <c r="H128" s="177">
        <f>H129</f>
        <v>19075516.643178765</v>
      </c>
      <c r="I128" s="113"/>
    </row>
    <row r="129" spans="1:9">
      <c r="A129" s="67">
        <v>1080</v>
      </c>
      <c r="B129" s="635" t="s">
        <v>154</v>
      </c>
      <c r="C129" s="636"/>
      <c r="D129" s="180">
        <f>SUM(D130:D152)</f>
        <v>16188422.950000001</v>
      </c>
      <c r="E129" s="180">
        <f>SUM(E130:E152)</f>
        <v>18080959.115999997</v>
      </c>
      <c r="F129" s="180">
        <f>SUM(F130:F152)</f>
        <v>18728680.328193799</v>
      </c>
      <c r="G129" s="180">
        <f>SUM(G130:G152)</f>
        <v>18864984.836225491</v>
      </c>
      <c r="H129" s="180">
        <f>SUM(H130:H152)</f>
        <v>19075516.643178765</v>
      </c>
      <c r="I129" s="117"/>
    </row>
    <row r="130" spans="1:9" ht="115.5">
      <c r="A130" s="11">
        <v>1080</v>
      </c>
      <c r="B130" s="28">
        <v>11001</v>
      </c>
      <c r="C130" s="40" t="s">
        <v>107</v>
      </c>
      <c r="D130" s="172">
        <v>3835700.02</v>
      </c>
      <c r="E130" s="172">
        <v>3890976.4159999993</v>
      </c>
      <c r="F130" s="172">
        <v>4101650.3001900013</v>
      </c>
      <c r="G130" s="172">
        <v>4137122.1512995004</v>
      </c>
      <c r="H130" s="172">
        <v>4211657.6209644768</v>
      </c>
      <c r="I130" s="121" t="s">
        <v>108</v>
      </c>
    </row>
    <row r="131" spans="1:9" ht="82.5">
      <c r="A131" s="11">
        <v>1080</v>
      </c>
      <c r="B131" s="28" t="s">
        <v>109</v>
      </c>
      <c r="C131" s="40" t="s">
        <v>110</v>
      </c>
      <c r="D131" s="172">
        <v>1229382.82</v>
      </c>
      <c r="E131" s="172">
        <v>1296311.7999999998</v>
      </c>
      <c r="F131" s="172">
        <v>1280282.1999999997</v>
      </c>
      <c r="G131" s="172">
        <v>1274305.55</v>
      </c>
      <c r="H131" s="172">
        <v>1282713.9575</v>
      </c>
      <c r="I131" s="121" t="s">
        <v>108</v>
      </c>
    </row>
    <row r="132" spans="1:9" ht="99">
      <c r="A132" s="11">
        <v>1080</v>
      </c>
      <c r="B132" s="28" t="s">
        <v>111</v>
      </c>
      <c r="C132" s="40" t="s">
        <v>112</v>
      </c>
      <c r="D132" s="172">
        <v>773111.76</v>
      </c>
      <c r="E132" s="172">
        <v>725839.39999999991</v>
      </c>
      <c r="F132" s="172">
        <v>726422.2</v>
      </c>
      <c r="G132" s="172">
        <v>730646.61</v>
      </c>
      <c r="H132" s="172">
        <v>736479.45550000004</v>
      </c>
      <c r="I132" s="121" t="s">
        <v>108</v>
      </c>
    </row>
    <row r="133" spans="1:9" ht="82.5">
      <c r="A133" s="11">
        <v>1080</v>
      </c>
      <c r="B133" s="28" t="s">
        <v>113</v>
      </c>
      <c r="C133" s="40" t="s">
        <v>114</v>
      </c>
      <c r="D133" s="172">
        <v>867324.98</v>
      </c>
      <c r="E133" s="172">
        <v>802145.60000000009</v>
      </c>
      <c r="F133" s="172">
        <v>820199.8</v>
      </c>
      <c r="G133" s="172">
        <v>815492.46</v>
      </c>
      <c r="H133" s="172">
        <v>821875.603</v>
      </c>
      <c r="I133" s="121" t="s">
        <v>108</v>
      </c>
    </row>
    <row r="134" spans="1:9" ht="82.5">
      <c r="A134" s="11">
        <v>1080</v>
      </c>
      <c r="B134" s="28" t="s">
        <v>115</v>
      </c>
      <c r="C134" s="40" t="s">
        <v>116</v>
      </c>
      <c r="D134" s="172">
        <v>447419.41</v>
      </c>
      <c r="E134" s="172">
        <v>496477.80000000005</v>
      </c>
      <c r="F134" s="172">
        <v>506600.7</v>
      </c>
      <c r="G134" s="172">
        <v>506590.92000000004</v>
      </c>
      <c r="H134" s="172">
        <v>510779.18100000004</v>
      </c>
      <c r="I134" s="121" t="s">
        <v>108</v>
      </c>
    </row>
    <row r="135" spans="1:9" ht="82.5">
      <c r="A135" s="11">
        <v>1080</v>
      </c>
      <c r="B135" s="28" t="s">
        <v>117</v>
      </c>
      <c r="C135" s="40" t="s">
        <v>118</v>
      </c>
      <c r="D135" s="172">
        <v>803159.99</v>
      </c>
      <c r="E135" s="172">
        <v>925992.3</v>
      </c>
      <c r="F135" s="172">
        <v>952733.39999999991</v>
      </c>
      <c r="G135" s="172">
        <v>966311.12999999989</v>
      </c>
      <c r="H135" s="172">
        <v>979023.79649999982</v>
      </c>
      <c r="I135" s="121" t="s">
        <v>108</v>
      </c>
    </row>
    <row r="136" spans="1:9" ht="18" customHeight="1">
      <c r="A136" s="11">
        <v>1080</v>
      </c>
      <c r="B136" s="28" t="s">
        <v>119</v>
      </c>
      <c r="C136" s="40" t="s">
        <v>120</v>
      </c>
      <c r="D136" s="172">
        <v>1078019.1399999999</v>
      </c>
      <c r="E136" s="172"/>
      <c r="F136" s="172"/>
      <c r="G136" s="172"/>
      <c r="H136" s="172"/>
      <c r="I136" s="122"/>
    </row>
    <row r="137" spans="1:9" ht="23.25" customHeight="1">
      <c r="A137" s="11">
        <v>1080</v>
      </c>
      <c r="B137" s="28" t="s">
        <v>121</v>
      </c>
      <c r="C137" s="40" t="s">
        <v>122</v>
      </c>
      <c r="D137" s="172">
        <v>321504.78999999998</v>
      </c>
      <c r="E137" s="172">
        <v>382598.1</v>
      </c>
      <c r="F137" s="172">
        <v>390689.50000000006</v>
      </c>
      <c r="G137" s="172">
        <v>395416.62</v>
      </c>
      <c r="H137" s="172">
        <v>399981.21099999989</v>
      </c>
      <c r="I137" s="121" t="s">
        <v>108</v>
      </c>
    </row>
    <row r="138" spans="1:9" ht="115.5">
      <c r="A138" s="11">
        <v>1080</v>
      </c>
      <c r="B138" s="28" t="s">
        <v>123</v>
      </c>
      <c r="C138" s="40" t="s">
        <v>124</v>
      </c>
      <c r="D138" s="172">
        <v>541713.09</v>
      </c>
      <c r="E138" s="172">
        <v>576030.79999999993</v>
      </c>
      <c r="F138" s="172">
        <v>603353.20000000007</v>
      </c>
      <c r="G138" s="172">
        <v>606079.98000000021</v>
      </c>
      <c r="H138" s="172">
        <v>613176.60900000017</v>
      </c>
      <c r="I138" s="121" t="s">
        <v>108</v>
      </c>
    </row>
    <row r="139" spans="1:9" ht="115.5">
      <c r="A139" s="11">
        <v>1080</v>
      </c>
      <c r="B139" s="28" t="s">
        <v>125</v>
      </c>
      <c r="C139" s="40" t="s">
        <v>126</v>
      </c>
      <c r="D139" s="172">
        <v>458254.16</v>
      </c>
      <c r="E139" s="172">
        <v>461035.89999999997</v>
      </c>
      <c r="F139" s="172">
        <v>476135.2</v>
      </c>
      <c r="G139" s="172">
        <v>482404.66000000003</v>
      </c>
      <c r="H139" s="172">
        <v>488395.12299999996</v>
      </c>
      <c r="I139" s="121" t="s">
        <v>108</v>
      </c>
    </row>
    <row r="140" spans="1:9" ht="115.5">
      <c r="A140" s="11">
        <v>1080</v>
      </c>
      <c r="B140" s="28" t="s">
        <v>127</v>
      </c>
      <c r="C140" s="40" t="s">
        <v>128</v>
      </c>
      <c r="D140" s="172">
        <v>411337.47</v>
      </c>
      <c r="E140" s="172">
        <v>490966.10000000003</v>
      </c>
      <c r="F140" s="172">
        <v>502122.30000000005</v>
      </c>
      <c r="G140" s="172">
        <v>506951.64</v>
      </c>
      <c r="H140" s="172">
        <v>512874.04200000002</v>
      </c>
      <c r="I140" s="121" t="s">
        <v>108</v>
      </c>
    </row>
    <row r="141" spans="1:9" ht="21.75" customHeight="1">
      <c r="A141" s="11">
        <v>1080</v>
      </c>
      <c r="B141" s="28" t="s">
        <v>129</v>
      </c>
      <c r="C141" s="40" t="s">
        <v>130</v>
      </c>
      <c r="D141" s="172">
        <v>567924.37</v>
      </c>
      <c r="E141" s="172">
        <v>603775.50000000012</v>
      </c>
      <c r="F141" s="172">
        <v>624454.6</v>
      </c>
      <c r="G141" s="172">
        <v>631743.78</v>
      </c>
      <c r="H141" s="172">
        <v>639416.22900000005</v>
      </c>
      <c r="I141" s="121" t="s">
        <v>108</v>
      </c>
    </row>
    <row r="142" spans="1:9" ht="99">
      <c r="A142" s="11">
        <v>1080</v>
      </c>
      <c r="B142" s="28" t="s">
        <v>131</v>
      </c>
      <c r="C142" s="40" t="s">
        <v>132</v>
      </c>
      <c r="D142" s="172">
        <v>484030.76</v>
      </c>
      <c r="E142" s="172">
        <v>527820.90000000014</v>
      </c>
      <c r="F142" s="172">
        <v>552323.6</v>
      </c>
      <c r="G142" s="172">
        <v>561610.07499999995</v>
      </c>
      <c r="H142" s="172">
        <v>570230.09375</v>
      </c>
      <c r="I142" s="121" t="s">
        <v>108</v>
      </c>
    </row>
    <row r="143" spans="1:9" ht="99">
      <c r="A143" s="11">
        <v>1080</v>
      </c>
      <c r="B143" s="28" t="s">
        <v>133</v>
      </c>
      <c r="C143" s="40" t="s">
        <v>134</v>
      </c>
      <c r="D143" s="172">
        <v>540398.64</v>
      </c>
      <c r="E143" s="172">
        <v>594228.70000000019</v>
      </c>
      <c r="F143" s="172">
        <v>642553.20000000007</v>
      </c>
      <c r="G143" s="172">
        <v>651946.41</v>
      </c>
      <c r="H143" s="172">
        <v>660674.79549999989</v>
      </c>
      <c r="I143" s="121" t="s">
        <v>108</v>
      </c>
    </row>
    <row r="144" spans="1:9" ht="99">
      <c r="A144" s="11">
        <v>1080</v>
      </c>
      <c r="B144" s="28" t="s">
        <v>135</v>
      </c>
      <c r="C144" s="40" t="s">
        <v>136</v>
      </c>
      <c r="D144" s="172">
        <v>384733.68</v>
      </c>
      <c r="E144" s="172">
        <v>482662.8000000001</v>
      </c>
      <c r="F144" s="172">
        <v>501649.3</v>
      </c>
      <c r="G144" s="172">
        <v>507321.82000000007</v>
      </c>
      <c r="H144" s="172">
        <v>512572.31599999999</v>
      </c>
      <c r="I144" s="121" t="s">
        <v>108</v>
      </c>
    </row>
    <row r="145" spans="1:9" ht="99">
      <c r="A145" s="11">
        <v>1080</v>
      </c>
      <c r="B145" s="28" t="s">
        <v>137</v>
      </c>
      <c r="C145" s="40" t="s">
        <v>138</v>
      </c>
      <c r="D145" s="172">
        <v>352069.21</v>
      </c>
      <c r="E145" s="172">
        <v>373576.70000000007</v>
      </c>
      <c r="F145" s="172">
        <v>397061</v>
      </c>
      <c r="G145" s="172">
        <v>402024.62</v>
      </c>
      <c r="H145" s="172">
        <v>406939.511</v>
      </c>
      <c r="I145" s="121" t="s">
        <v>108</v>
      </c>
    </row>
    <row r="146" spans="1:9" ht="82.5">
      <c r="A146" s="11">
        <v>1080</v>
      </c>
      <c r="B146" s="28" t="s">
        <v>139</v>
      </c>
      <c r="C146" s="40" t="s">
        <v>140</v>
      </c>
      <c r="D146" s="172">
        <v>591293.9</v>
      </c>
      <c r="E146" s="172">
        <v>702577</v>
      </c>
      <c r="F146" s="172">
        <v>728026.39999999991</v>
      </c>
      <c r="G146" s="172">
        <v>736635.39999999991</v>
      </c>
      <c r="H146" s="172">
        <v>745225.72499999986</v>
      </c>
      <c r="I146" s="121" t="s">
        <v>108</v>
      </c>
    </row>
    <row r="147" spans="1:9" ht="54">
      <c r="A147" s="11">
        <v>1080</v>
      </c>
      <c r="B147" s="28" t="s">
        <v>141</v>
      </c>
      <c r="C147" s="40" t="s">
        <v>142</v>
      </c>
      <c r="D147" s="172">
        <v>50080.75</v>
      </c>
      <c r="E147" s="172">
        <v>375955.6</v>
      </c>
      <c r="F147" s="172">
        <v>422976.02800380002</v>
      </c>
      <c r="G147" s="172">
        <v>405834.33992598997</v>
      </c>
      <c r="H147" s="172">
        <v>380375.69496428955</v>
      </c>
      <c r="I147" s="121" t="s">
        <v>143</v>
      </c>
    </row>
    <row r="148" spans="1:9" ht="82.5">
      <c r="A148" s="11">
        <v>1080</v>
      </c>
      <c r="B148" s="28" t="s">
        <v>144</v>
      </c>
      <c r="C148" s="40" t="s">
        <v>145</v>
      </c>
      <c r="D148" s="172">
        <v>554388.06999999995</v>
      </c>
      <c r="E148" s="172">
        <v>564463.6</v>
      </c>
      <c r="F148" s="172">
        <v>570979.6</v>
      </c>
      <c r="G148" s="172">
        <v>578990.69999999995</v>
      </c>
      <c r="H148" s="172">
        <v>586543.79999999993</v>
      </c>
      <c r="I148" s="121" t="s">
        <v>108</v>
      </c>
    </row>
    <row r="149" spans="1:9" ht="43.5" customHeight="1">
      <c r="A149" s="11">
        <v>1080</v>
      </c>
      <c r="B149" s="28">
        <v>11020</v>
      </c>
      <c r="C149" s="40" t="s">
        <v>146</v>
      </c>
      <c r="D149" s="172"/>
      <c r="E149" s="172">
        <v>456419.1</v>
      </c>
      <c r="F149" s="172">
        <v>461952.10000000003</v>
      </c>
      <c r="G149" s="172">
        <v>466997.68000000005</v>
      </c>
      <c r="H149" s="172">
        <v>473753.41899999999</v>
      </c>
      <c r="I149" s="121" t="s">
        <v>108</v>
      </c>
    </row>
    <row r="150" spans="1:9" ht="115.5">
      <c r="A150" s="11">
        <v>1080</v>
      </c>
      <c r="B150" s="28">
        <v>11021</v>
      </c>
      <c r="C150" s="40" t="s">
        <v>147</v>
      </c>
      <c r="D150" s="172">
        <v>2285.1999999999998</v>
      </c>
      <c r="E150" s="172">
        <v>5910</v>
      </c>
      <c r="F150" s="172">
        <v>5910</v>
      </c>
      <c r="G150" s="172">
        <v>5910</v>
      </c>
      <c r="H150" s="172">
        <v>5910</v>
      </c>
      <c r="I150" s="122"/>
    </row>
    <row r="151" spans="1:9" ht="132">
      <c r="A151" s="11">
        <v>1080</v>
      </c>
      <c r="B151" s="28">
        <v>11022</v>
      </c>
      <c r="C151" s="40" t="s">
        <v>148</v>
      </c>
      <c r="D151" s="172">
        <v>818521</v>
      </c>
      <c r="E151" s="172">
        <v>1676626.5999999999</v>
      </c>
      <c r="F151" s="172">
        <v>1741315.9</v>
      </c>
      <c r="G151" s="172">
        <v>1767061.26</v>
      </c>
      <c r="H151" s="172">
        <v>1792082.6529999999</v>
      </c>
      <c r="I151" s="121" t="s">
        <v>108</v>
      </c>
    </row>
    <row r="152" spans="1:9" ht="115.5">
      <c r="A152" s="11">
        <v>1080</v>
      </c>
      <c r="B152" s="28">
        <v>11023</v>
      </c>
      <c r="C152" s="40" t="s">
        <v>149</v>
      </c>
      <c r="D152" s="172">
        <v>1075769.74</v>
      </c>
      <c r="E152" s="172">
        <v>1668568.4000000004</v>
      </c>
      <c r="F152" s="172">
        <v>1719289.8</v>
      </c>
      <c r="G152" s="172">
        <v>1727587.0300000005</v>
      </c>
      <c r="H152" s="172">
        <v>1744835.8065000002</v>
      </c>
      <c r="I152" s="121" t="s">
        <v>108</v>
      </c>
    </row>
    <row r="153" spans="1:9">
      <c r="A153" s="698" t="s">
        <v>9</v>
      </c>
      <c r="B153" s="699"/>
      <c r="C153" s="700"/>
      <c r="D153" s="177">
        <f>D154</f>
        <v>596398.51</v>
      </c>
      <c r="E153" s="177">
        <f>E154</f>
        <v>1092775.6000000001</v>
      </c>
      <c r="F153" s="177">
        <f>F154</f>
        <v>2949495.4999999995</v>
      </c>
      <c r="G153" s="177">
        <f>G154</f>
        <v>1832566.5</v>
      </c>
      <c r="H153" s="177">
        <f>H154</f>
        <v>323643.8</v>
      </c>
      <c r="I153" s="113"/>
    </row>
    <row r="154" spans="1:9">
      <c r="A154" s="21">
        <v>1080</v>
      </c>
      <c r="B154" s="635" t="s">
        <v>154</v>
      </c>
      <c r="C154" s="636"/>
      <c r="D154" s="180">
        <f>SUM(D155:D157)</f>
        <v>596398.51</v>
      </c>
      <c r="E154" s="180">
        <f>SUM(E155:E157)</f>
        <v>1092775.6000000001</v>
      </c>
      <c r="F154" s="180">
        <f>SUM(F155:F157)</f>
        <v>2949495.4999999995</v>
      </c>
      <c r="G154" s="180">
        <f>SUM(G155:G157)</f>
        <v>1832566.5</v>
      </c>
      <c r="H154" s="180">
        <f>SUM(H155:H157)</f>
        <v>323643.8</v>
      </c>
      <c r="I154" s="117"/>
    </row>
    <row r="155" spans="1:9" ht="49.5">
      <c r="A155" s="11">
        <v>1080</v>
      </c>
      <c r="B155" s="28">
        <v>31001</v>
      </c>
      <c r="C155" s="40" t="s">
        <v>150</v>
      </c>
      <c r="D155" s="172">
        <v>431998.51</v>
      </c>
      <c r="E155" s="172">
        <v>647287.6</v>
      </c>
      <c r="F155" s="172">
        <v>323643.8</v>
      </c>
      <c r="G155" s="172">
        <v>323643.8</v>
      </c>
      <c r="H155" s="172">
        <v>323643.8</v>
      </c>
      <c r="I155" s="122"/>
    </row>
    <row r="156" spans="1:9" ht="94.5">
      <c r="A156" s="11">
        <v>1080</v>
      </c>
      <c r="B156" s="28">
        <v>31002</v>
      </c>
      <c r="C156" s="40" t="s">
        <v>151</v>
      </c>
      <c r="D156" s="172">
        <v>164400</v>
      </c>
      <c r="E156" s="172">
        <v>425488</v>
      </c>
      <c r="F156" s="172">
        <v>2557351.6999999997</v>
      </c>
      <c r="G156" s="172">
        <v>1508922.7</v>
      </c>
      <c r="H156" s="172"/>
      <c r="I156" s="121" t="s">
        <v>152</v>
      </c>
    </row>
    <row r="157" spans="1:9" ht="49.5">
      <c r="A157" s="11">
        <v>1080</v>
      </c>
      <c r="B157" s="28">
        <v>31003</v>
      </c>
      <c r="C157" s="40" t="s">
        <v>153</v>
      </c>
      <c r="D157" s="172"/>
      <c r="E157" s="172">
        <v>20000</v>
      </c>
      <c r="F157" s="172">
        <v>68500</v>
      </c>
      <c r="G157" s="172"/>
      <c r="H157" s="172"/>
      <c r="I157" s="122"/>
    </row>
    <row r="158" spans="1:9">
      <c r="A158" s="157" t="s">
        <v>17</v>
      </c>
      <c r="B158" s="710" t="s">
        <v>23</v>
      </c>
      <c r="C158" s="711"/>
      <c r="D158" s="176">
        <f>D159+D164</f>
        <v>56576</v>
      </c>
      <c r="E158" s="176">
        <f>E159+E164</f>
        <v>307067.54000000004</v>
      </c>
      <c r="F158" s="176">
        <f>F159+F164</f>
        <v>130000</v>
      </c>
      <c r="G158" s="176">
        <f>G159+G164</f>
        <v>130000</v>
      </c>
      <c r="H158" s="176">
        <f>H159+H164</f>
        <v>130000</v>
      </c>
      <c r="I158" s="112"/>
    </row>
    <row r="159" spans="1:9">
      <c r="A159" s="698" t="s">
        <v>8</v>
      </c>
      <c r="B159" s="699"/>
      <c r="C159" s="700"/>
      <c r="D159" s="177">
        <f>D160</f>
        <v>56576</v>
      </c>
      <c r="E159" s="177">
        <f>E160</f>
        <v>177067.54</v>
      </c>
      <c r="F159" s="177">
        <f>F160</f>
        <v>0</v>
      </c>
      <c r="G159" s="177">
        <f>G160</f>
        <v>0</v>
      </c>
      <c r="H159" s="177">
        <f>H160</f>
        <v>0</v>
      </c>
      <c r="I159" s="113"/>
    </row>
    <row r="160" spans="1:9" ht="16.5" customHeight="1">
      <c r="A160" s="32">
        <v>1087</v>
      </c>
      <c r="B160" s="635" t="s">
        <v>162</v>
      </c>
      <c r="C160" s="636"/>
      <c r="D160" s="180">
        <f>SUM(D161:D163)</f>
        <v>56576</v>
      </c>
      <c r="E160" s="180">
        <f>SUM(E161:E163)</f>
        <v>177067.54</v>
      </c>
      <c r="F160" s="180">
        <f>SUM(F161:F163)</f>
        <v>0</v>
      </c>
      <c r="G160" s="180">
        <f>SUM(G161:G163)</f>
        <v>0</v>
      </c>
      <c r="H160" s="180">
        <f>SUM(H161:H163)</f>
        <v>0</v>
      </c>
      <c r="I160" s="117"/>
    </row>
    <row r="161" spans="1:13" ht="181.5">
      <c r="A161" s="10">
        <v>1087</v>
      </c>
      <c r="B161" s="28">
        <v>11001</v>
      </c>
      <c r="C161" s="40" t="s">
        <v>156</v>
      </c>
      <c r="D161" s="172">
        <v>56576</v>
      </c>
      <c r="E161" s="172">
        <v>43002</v>
      </c>
      <c r="F161" s="172"/>
      <c r="G161" s="172"/>
      <c r="H161" s="172"/>
      <c r="I161" s="25" t="s">
        <v>157</v>
      </c>
    </row>
    <row r="162" spans="1:13" ht="47.25" customHeight="1">
      <c r="A162" s="10">
        <v>1087</v>
      </c>
      <c r="B162" s="28">
        <v>11001</v>
      </c>
      <c r="C162" s="40" t="s">
        <v>156</v>
      </c>
      <c r="D162" s="172">
        <v>0</v>
      </c>
      <c r="E162" s="172">
        <v>80734.31</v>
      </c>
      <c r="F162" s="172"/>
      <c r="G162" s="172"/>
      <c r="H162" s="172"/>
      <c r="I162" s="25" t="s">
        <v>158</v>
      </c>
    </row>
    <row r="163" spans="1:13" ht="31.7" customHeight="1">
      <c r="A163" s="10">
        <v>1087</v>
      </c>
      <c r="B163" s="28">
        <v>11001</v>
      </c>
      <c r="C163" s="40" t="s">
        <v>156</v>
      </c>
      <c r="D163" s="172">
        <v>0</v>
      </c>
      <c r="E163" s="172">
        <v>53331.23</v>
      </c>
      <c r="F163" s="172"/>
      <c r="G163" s="172"/>
      <c r="H163" s="172"/>
      <c r="I163" s="25" t="s">
        <v>158</v>
      </c>
    </row>
    <row r="164" spans="1:13">
      <c r="A164" s="69" t="s">
        <v>9</v>
      </c>
      <c r="B164" s="70"/>
      <c r="C164" s="221"/>
      <c r="D164" s="177">
        <f t="shared" ref="D164:H165" si="14">D165</f>
        <v>0</v>
      </c>
      <c r="E164" s="177">
        <f t="shared" si="14"/>
        <v>130000</v>
      </c>
      <c r="F164" s="177">
        <f t="shared" si="14"/>
        <v>130000</v>
      </c>
      <c r="G164" s="177">
        <f t="shared" si="14"/>
        <v>130000</v>
      </c>
      <c r="H164" s="177">
        <f t="shared" si="14"/>
        <v>130000</v>
      </c>
      <c r="I164" s="113"/>
    </row>
    <row r="165" spans="1:13">
      <c r="A165" s="32">
        <v>1087</v>
      </c>
      <c r="B165" s="635" t="s">
        <v>162</v>
      </c>
      <c r="C165" s="636"/>
      <c r="D165" s="180">
        <f t="shared" si="14"/>
        <v>0</v>
      </c>
      <c r="E165" s="180">
        <f t="shared" si="14"/>
        <v>130000</v>
      </c>
      <c r="F165" s="180">
        <f t="shared" si="14"/>
        <v>130000</v>
      </c>
      <c r="G165" s="180">
        <f t="shared" si="14"/>
        <v>130000</v>
      </c>
      <c r="H165" s="180">
        <f t="shared" si="14"/>
        <v>130000</v>
      </c>
      <c r="I165" s="117"/>
    </row>
    <row r="166" spans="1:13" ht="132">
      <c r="A166" s="10">
        <v>1087</v>
      </c>
      <c r="B166" s="28">
        <v>31001</v>
      </c>
      <c r="C166" s="40" t="s">
        <v>159</v>
      </c>
      <c r="D166" s="172">
        <v>0</v>
      </c>
      <c r="E166" s="172">
        <v>130000</v>
      </c>
      <c r="F166" s="172">
        <v>130000</v>
      </c>
      <c r="G166" s="172">
        <v>130000</v>
      </c>
      <c r="H166" s="172">
        <v>130000</v>
      </c>
      <c r="I166" s="25" t="s">
        <v>160</v>
      </c>
    </row>
    <row r="167" spans="1:13" s="1" customFormat="1">
      <c r="A167" s="157" t="s">
        <v>17</v>
      </c>
      <c r="B167" s="712" t="s">
        <v>24</v>
      </c>
      <c r="C167" s="713"/>
      <c r="D167" s="176">
        <f>D168+D241</f>
        <v>230209320.04557359</v>
      </c>
      <c r="E167" s="176">
        <f>E168+E241</f>
        <v>279953107.70000005</v>
      </c>
      <c r="F167" s="176">
        <f>F168+F241</f>
        <v>402449954.4706254</v>
      </c>
      <c r="G167" s="176">
        <f>G168+G241</f>
        <v>416817544.10410702</v>
      </c>
      <c r="H167" s="176">
        <f>H168+H241</f>
        <v>393626286.97047997</v>
      </c>
      <c r="I167" s="112"/>
    </row>
    <row r="168" spans="1:13">
      <c r="A168" s="703" t="s">
        <v>8</v>
      </c>
      <c r="B168" s="704"/>
      <c r="C168" s="705"/>
      <c r="D168" s="177">
        <f>D169+D172+D184+D187+D189+D191+D193+D204+D209+D211+D213+D218+D220+D222+D224+D226+D231+D238+D182</f>
        <v>131551083.18078999</v>
      </c>
      <c r="E168" s="177">
        <f>E169+E172+E184+E187+E189+E191+E193+E204+E209+E211+E213+E218+E220+E222+E224+E226+E231+E238+E182</f>
        <v>143226621.5</v>
      </c>
      <c r="F168" s="177">
        <f>F169+F172+F184+F187+F189+F191+F193+F204+F209+F211+F213+F218+F220+F222+F224+F226+F231+F238+F182</f>
        <v>169949900.64225</v>
      </c>
      <c r="G168" s="177">
        <f>G169+G172+G184+G187+G189+G191+G193+G204+G209+G211+G213+G218+G220+G222+G224+G226+G231+G238+G182</f>
        <v>181903474.50384998</v>
      </c>
      <c r="H168" s="177">
        <f>H169+H172+H184+H187+H189+H191+H193+H204+H209+H211+H213+H218+H220+H222+H224+H226+H231+H238+H182</f>
        <v>191444933.87239999</v>
      </c>
      <c r="I168" s="113"/>
      <c r="M168" s="351"/>
    </row>
    <row r="169" spans="1:13" s="3" customFormat="1">
      <c r="A169" s="30">
        <v>1001</v>
      </c>
      <c r="B169" s="637" t="s">
        <v>968</v>
      </c>
      <c r="C169" s="638"/>
      <c r="D169" s="180">
        <f>SUM(D170:D171)</f>
        <v>0</v>
      </c>
      <c r="E169" s="180">
        <f t="shared" ref="E169:H169" si="15">SUM(E170:E171)</f>
        <v>21900</v>
      </c>
      <c r="F169" s="180">
        <f t="shared" si="15"/>
        <v>1661678.3</v>
      </c>
      <c r="G169" s="180">
        <f t="shared" si="15"/>
        <v>1672804</v>
      </c>
      <c r="H169" s="180">
        <f t="shared" si="15"/>
        <v>1672804</v>
      </c>
      <c r="I169" s="114"/>
    </row>
    <row r="170" spans="1:13" s="3" customFormat="1" ht="16.5" customHeight="1">
      <c r="A170" s="10">
        <v>1001</v>
      </c>
      <c r="B170" s="4">
        <v>11001</v>
      </c>
      <c r="C170" s="40" t="s">
        <v>800</v>
      </c>
      <c r="D170" s="172" t="s">
        <v>801</v>
      </c>
      <c r="E170" s="172" t="s">
        <v>802</v>
      </c>
      <c r="F170" s="172">
        <v>1639778.3</v>
      </c>
      <c r="G170" s="172">
        <v>1650904</v>
      </c>
      <c r="H170" s="172">
        <v>1650904</v>
      </c>
      <c r="I170" s="123"/>
    </row>
    <row r="171" spans="1:13" s="3" customFormat="1" ht="82.5" customHeight="1">
      <c r="A171" s="10">
        <v>1001</v>
      </c>
      <c r="B171" s="4">
        <v>31001</v>
      </c>
      <c r="C171" s="40" t="s">
        <v>803</v>
      </c>
      <c r="D171" s="172" t="s">
        <v>804</v>
      </c>
      <c r="E171" s="172">
        <v>21900</v>
      </c>
      <c r="F171" s="172">
        <v>21900</v>
      </c>
      <c r="G171" s="172">
        <v>21900</v>
      </c>
      <c r="H171" s="172">
        <v>21900</v>
      </c>
      <c r="I171" s="119"/>
    </row>
    <row r="172" spans="1:13" s="3" customFormat="1">
      <c r="A172" s="30">
        <v>1004</v>
      </c>
      <c r="B172" s="637" t="s">
        <v>969</v>
      </c>
      <c r="C172" s="638"/>
      <c r="D172" s="180">
        <f>SUM(D173:D181)</f>
        <v>12015643.7042</v>
      </c>
      <c r="E172" s="180">
        <f t="shared" ref="E172:H172" si="16">SUM(E173:E181)</f>
        <v>11763354.200000001</v>
      </c>
      <c r="F172" s="180">
        <f t="shared" si="16"/>
        <v>12130862.772</v>
      </c>
      <c r="G172" s="180">
        <f t="shared" si="16"/>
        <v>11174643.60385</v>
      </c>
      <c r="H172" s="180">
        <f t="shared" si="16"/>
        <v>10451729.5</v>
      </c>
      <c r="I172" s="114"/>
    </row>
    <row r="173" spans="1:13" s="3" customFormat="1" ht="82.5">
      <c r="A173" s="10">
        <v>1004</v>
      </c>
      <c r="B173" s="4">
        <v>11001</v>
      </c>
      <c r="C173" s="40" t="s">
        <v>805</v>
      </c>
      <c r="D173" s="182">
        <v>1285129.5</v>
      </c>
      <c r="E173" s="182">
        <v>1285129.5</v>
      </c>
      <c r="F173" s="182">
        <v>1285129.5</v>
      </c>
      <c r="G173" s="182">
        <v>1285129.5</v>
      </c>
      <c r="H173" s="182">
        <v>1285129.5</v>
      </c>
      <c r="I173" s="25" t="s">
        <v>806</v>
      </c>
    </row>
    <row r="174" spans="1:13" s="3" customFormat="1" ht="49.5">
      <c r="A174" s="10">
        <v>1004</v>
      </c>
      <c r="B174" s="2" t="s">
        <v>233</v>
      </c>
      <c r="C174" s="96" t="s">
        <v>807</v>
      </c>
      <c r="D174" s="182">
        <v>10110040</v>
      </c>
      <c r="E174" s="182">
        <v>9000000</v>
      </c>
      <c r="F174" s="182">
        <v>9000000</v>
      </c>
      <c r="G174" s="182">
        <v>9000000</v>
      </c>
      <c r="H174" s="182">
        <v>9000000</v>
      </c>
      <c r="I174" s="25" t="s">
        <v>808</v>
      </c>
    </row>
    <row r="175" spans="1:13" s="3" customFormat="1" ht="99">
      <c r="A175" s="10">
        <v>1004</v>
      </c>
      <c r="B175" s="2">
        <v>11005</v>
      </c>
      <c r="C175" s="40" t="s">
        <v>809</v>
      </c>
      <c r="D175" s="182">
        <v>183129.42660000001</v>
      </c>
      <c r="E175" s="182">
        <v>329707.10000000003</v>
      </c>
      <c r="F175" s="182">
        <v>328446.90000000002</v>
      </c>
      <c r="G175" s="182"/>
      <c r="H175" s="182"/>
      <c r="I175" s="25" t="s">
        <v>810</v>
      </c>
    </row>
    <row r="176" spans="1:13" s="3" customFormat="1" ht="99">
      <c r="A176" s="10">
        <v>1004</v>
      </c>
      <c r="B176" s="2">
        <v>11006</v>
      </c>
      <c r="C176" s="40" t="s">
        <v>811</v>
      </c>
      <c r="D176" s="182">
        <v>65378.395899999996</v>
      </c>
      <c r="E176" s="182">
        <v>72426</v>
      </c>
      <c r="F176" s="182">
        <v>3100</v>
      </c>
      <c r="G176" s="182"/>
      <c r="H176" s="182"/>
      <c r="I176" s="25" t="s">
        <v>812</v>
      </c>
    </row>
    <row r="177" spans="1:9" s="3" customFormat="1" ht="115.5">
      <c r="A177" s="10">
        <v>1004</v>
      </c>
      <c r="B177" s="2" t="s">
        <v>119</v>
      </c>
      <c r="C177" s="40" t="s">
        <v>813</v>
      </c>
      <c r="D177" s="182">
        <v>146019.60070000001</v>
      </c>
      <c r="E177" s="182">
        <v>150385.4</v>
      </c>
      <c r="F177" s="182">
        <v>299720.772</v>
      </c>
      <c r="G177" s="182">
        <v>220580</v>
      </c>
      <c r="H177" s="182"/>
      <c r="I177" s="25" t="s">
        <v>814</v>
      </c>
    </row>
    <row r="178" spans="1:9" s="3" customFormat="1" ht="99">
      <c r="A178" s="10">
        <v>1004</v>
      </c>
      <c r="B178" s="2" t="s">
        <v>123</v>
      </c>
      <c r="C178" s="40" t="s">
        <v>815</v>
      </c>
      <c r="D178" s="182">
        <v>0</v>
      </c>
      <c r="E178" s="182">
        <v>25150.799999999999</v>
      </c>
      <c r="F178" s="182">
        <v>30000</v>
      </c>
      <c r="G178" s="182">
        <v>30000</v>
      </c>
      <c r="H178" s="182"/>
      <c r="I178" s="25" t="s">
        <v>816</v>
      </c>
    </row>
    <row r="179" spans="1:9" s="3" customFormat="1" ht="132">
      <c r="A179" s="10">
        <v>1004</v>
      </c>
      <c r="B179" s="2" t="s">
        <v>253</v>
      </c>
      <c r="C179" s="40" t="s">
        <v>817</v>
      </c>
      <c r="D179" s="182">
        <v>188216.78099999999</v>
      </c>
      <c r="E179" s="182">
        <v>424085</v>
      </c>
      <c r="F179" s="182">
        <v>700000</v>
      </c>
      <c r="G179" s="182">
        <v>317816.10384999996</v>
      </c>
      <c r="H179" s="182"/>
      <c r="I179" s="25" t="s">
        <v>818</v>
      </c>
    </row>
    <row r="180" spans="1:9" s="3" customFormat="1" ht="132">
      <c r="A180" s="10">
        <v>1004</v>
      </c>
      <c r="B180" s="2" t="s">
        <v>255</v>
      </c>
      <c r="C180" s="40" t="s">
        <v>819</v>
      </c>
      <c r="D180" s="182">
        <v>0</v>
      </c>
      <c r="E180" s="182">
        <v>309870.40000000002</v>
      </c>
      <c r="F180" s="182">
        <v>317865.60000000003</v>
      </c>
      <c r="G180" s="182">
        <v>154518</v>
      </c>
      <c r="H180" s="182"/>
      <c r="I180" s="25" t="s">
        <v>820</v>
      </c>
    </row>
    <row r="181" spans="1:9" s="3" customFormat="1" ht="49.5">
      <c r="A181" s="10">
        <v>1004</v>
      </c>
      <c r="B181" s="2">
        <v>11013</v>
      </c>
      <c r="C181" s="96" t="s">
        <v>821</v>
      </c>
      <c r="D181" s="182">
        <v>37730</v>
      </c>
      <c r="E181" s="182">
        <v>166600</v>
      </c>
      <c r="F181" s="182">
        <v>166600</v>
      </c>
      <c r="G181" s="182">
        <v>166600</v>
      </c>
      <c r="H181" s="182">
        <v>166600</v>
      </c>
      <c r="I181" s="25" t="s">
        <v>808</v>
      </c>
    </row>
    <row r="182" spans="1:9" s="3" customFormat="1">
      <c r="A182" s="30">
        <v>1017</v>
      </c>
      <c r="B182" s="637" t="s">
        <v>970</v>
      </c>
      <c r="C182" s="638"/>
      <c r="D182" s="180">
        <f>D183</f>
        <v>270000</v>
      </c>
      <c r="E182" s="180">
        <f t="shared" ref="E182:H182" si="17">E183</f>
        <v>300000</v>
      </c>
      <c r="F182" s="180">
        <f t="shared" si="17"/>
        <v>350000</v>
      </c>
      <c r="G182" s="180">
        <f t="shared" si="17"/>
        <v>350000</v>
      </c>
      <c r="H182" s="180">
        <f t="shared" si="17"/>
        <v>350000</v>
      </c>
      <c r="I182" s="114"/>
    </row>
    <row r="183" spans="1:9" s="108" customFormat="1" ht="82.5">
      <c r="A183" s="5">
        <v>1017</v>
      </c>
      <c r="B183" s="2">
        <v>11001</v>
      </c>
      <c r="C183" s="96" t="s">
        <v>822</v>
      </c>
      <c r="D183" s="182">
        <v>270000</v>
      </c>
      <c r="E183" s="182">
        <v>300000</v>
      </c>
      <c r="F183" s="182">
        <v>350000</v>
      </c>
      <c r="G183" s="182">
        <v>350000</v>
      </c>
      <c r="H183" s="182">
        <v>350000</v>
      </c>
      <c r="I183" s="25" t="s">
        <v>806</v>
      </c>
    </row>
    <row r="184" spans="1:9" s="3" customFormat="1" ht="25.5" customHeight="1">
      <c r="A184" s="30">
        <v>1019</v>
      </c>
      <c r="B184" s="637" t="s">
        <v>971</v>
      </c>
      <c r="C184" s="638"/>
      <c r="D184" s="183">
        <f>SUM(D185:D186)</f>
        <v>469131.85539999994</v>
      </c>
      <c r="E184" s="183">
        <f t="shared" ref="E184:H184" si="18">SUM(E185:E186)</f>
        <v>605777.19999999995</v>
      </c>
      <c r="F184" s="183">
        <f t="shared" si="18"/>
        <v>745184.8</v>
      </c>
      <c r="G184" s="183">
        <f t="shared" si="18"/>
        <v>0</v>
      </c>
      <c r="H184" s="183">
        <f t="shared" si="18"/>
        <v>0</v>
      </c>
      <c r="I184" s="114"/>
    </row>
    <row r="185" spans="1:9" s="3" customFormat="1" ht="99">
      <c r="A185" s="5">
        <v>1019</v>
      </c>
      <c r="B185" s="2" t="s">
        <v>235</v>
      </c>
      <c r="C185" s="40" t="s">
        <v>823</v>
      </c>
      <c r="D185" s="182">
        <v>408598.51949999994</v>
      </c>
      <c r="E185" s="182">
        <v>351436.2</v>
      </c>
      <c r="F185" s="182">
        <v>410000</v>
      </c>
      <c r="G185" s="172"/>
      <c r="H185" s="172"/>
      <c r="I185" s="25" t="s">
        <v>824</v>
      </c>
    </row>
    <row r="186" spans="1:9" s="3" customFormat="1" ht="99">
      <c r="A186" s="5">
        <v>1019</v>
      </c>
      <c r="B186" s="2" t="s">
        <v>237</v>
      </c>
      <c r="C186" s="40" t="s">
        <v>825</v>
      </c>
      <c r="D186" s="182">
        <v>60533.335900000005</v>
      </c>
      <c r="E186" s="182">
        <v>254341</v>
      </c>
      <c r="F186" s="182">
        <v>335184.8</v>
      </c>
      <c r="G186" s="172"/>
      <c r="H186" s="172"/>
      <c r="I186" s="25" t="s">
        <v>826</v>
      </c>
    </row>
    <row r="187" spans="1:9" s="3" customFormat="1">
      <c r="A187" s="30">
        <v>1027</v>
      </c>
      <c r="B187" s="637" t="s">
        <v>827</v>
      </c>
      <c r="C187" s="638"/>
      <c r="D187" s="180">
        <f>D188</f>
        <v>286745.40000000002</v>
      </c>
      <c r="E187" s="180">
        <f t="shared" ref="E187:H187" si="19">E188</f>
        <v>298094.5</v>
      </c>
      <c r="F187" s="180">
        <f t="shared" si="19"/>
        <v>306000</v>
      </c>
      <c r="G187" s="180">
        <f t="shared" si="19"/>
        <v>313000</v>
      </c>
      <c r="H187" s="180">
        <f t="shared" si="19"/>
        <v>313000</v>
      </c>
      <c r="I187" s="114"/>
    </row>
    <row r="188" spans="1:9" s="108" customFormat="1" ht="16.5" customHeight="1">
      <c r="A188" s="5">
        <v>1027</v>
      </c>
      <c r="B188" s="2">
        <v>11001</v>
      </c>
      <c r="C188" s="96" t="s">
        <v>827</v>
      </c>
      <c r="D188" s="182">
        <v>286745.40000000002</v>
      </c>
      <c r="E188" s="182">
        <v>298094.5</v>
      </c>
      <c r="F188" s="182">
        <v>306000</v>
      </c>
      <c r="G188" s="182">
        <v>313000</v>
      </c>
      <c r="H188" s="182">
        <v>313000</v>
      </c>
      <c r="I188" s="25" t="s">
        <v>806</v>
      </c>
    </row>
    <row r="189" spans="1:9" s="3" customFormat="1">
      <c r="A189" s="30">
        <v>1038</v>
      </c>
      <c r="B189" s="637" t="s">
        <v>972</v>
      </c>
      <c r="C189" s="638"/>
      <c r="D189" s="180">
        <f>D190</f>
        <v>13497.17</v>
      </c>
      <c r="E189" s="180">
        <f t="shared" ref="E189:H189" si="20">E190</f>
        <v>14594</v>
      </c>
      <c r="F189" s="180">
        <f t="shared" si="20"/>
        <v>14933</v>
      </c>
      <c r="G189" s="180">
        <f t="shared" si="20"/>
        <v>14933</v>
      </c>
      <c r="H189" s="180">
        <f t="shared" si="20"/>
        <v>14933</v>
      </c>
      <c r="I189" s="114"/>
    </row>
    <row r="190" spans="1:9" s="108" customFormat="1">
      <c r="A190" s="94">
        <v>1038</v>
      </c>
      <c r="B190" s="2">
        <v>11001</v>
      </c>
      <c r="C190" s="222" t="s">
        <v>828</v>
      </c>
      <c r="D190" s="182">
        <v>13497.17</v>
      </c>
      <c r="E190" s="182">
        <v>14594</v>
      </c>
      <c r="F190" s="182">
        <v>14933</v>
      </c>
      <c r="G190" s="182">
        <v>14933</v>
      </c>
      <c r="H190" s="182">
        <v>14933</v>
      </c>
      <c r="I190" s="119"/>
    </row>
    <row r="191" spans="1:9" s="3" customFormat="1">
      <c r="A191" s="30">
        <v>1040</v>
      </c>
      <c r="B191" s="637" t="s">
        <v>973</v>
      </c>
      <c r="C191" s="638"/>
      <c r="D191" s="180">
        <f>D192</f>
        <v>0</v>
      </c>
      <c r="E191" s="180">
        <f t="shared" ref="E191:H191" si="21">E192</f>
        <v>325038</v>
      </c>
      <c r="F191" s="180">
        <f t="shared" si="21"/>
        <v>2028745</v>
      </c>
      <c r="G191" s="180">
        <f t="shared" si="21"/>
        <v>2610328.7000000002</v>
      </c>
      <c r="H191" s="180">
        <f t="shared" si="21"/>
        <v>11189594.199999999</v>
      </c>
      <c r="I191" s="114"/>
    </row>
    <row r="192" spans="1:9" s="3" customFormat="1" ht="16.5" customHeight="1">
      <c r="A192" s="10">
        <v>1040</v>
      </c>
      <c r="B192" s="2">
        <v>32009</v>
      </c>
      <c r="C192" s="96" t="s">
        <v>829</v>
      </c>
      <c r="D192" s="172"/>
      <c r="E192" s="172">
        <v>325038</v>
      </c>
      <c r="F192" s="172">
        <v>2028745</v>
      </c>
      <c r="G192" s="172">
        <v>2610328.7000000002</v>
      </c>
      <c r="H192" s="172">
        <v>11189594.199999999</v>
      </c>
      <c r="I192" s="109" t="s">
        <v>830</v>
      </c>
    </row>
    <row r="193" spans="1:9" s="3" customFormat="1">
      <c r="A193" s="30">
        <v>1049</v>
      </c>
      <c r="B193" s="637" t="s">
        <v>974</v>
      </c>
      <c r="C193" s="638"/>
      <c r="D193" s="180">
        <f>SUM(D194:D203)</f>
        <v>12718186.858500002</v>
      </c>
      <c r="E193" s="180">
        <f t="shared" ref="E193:H193" si="22">SUM(E194:E203)</f>
        <v>14740401.4</v>
      </c>
      <c r="F193" s="180">
        <f t="shared" si="22"/>
        <v>13563248.300000001</v>
      </c>
      <c r="G193" s="180">
        <f t="shared" si="22"/>
        <v>13172026.100000001</v>
      </c>
      <c r="H193" s="180">
        <f t="shared" si="22"/>
        <v>14306679.300000001</v>
      </c>
      <c r="I193" s="114"/>
    </row>
    <row r="194" spans="1:9" s="3" customFormat="1" ht="264">
      <c r="A194" s="5">
        <v>1049</v>
      </c>
      <c r="B194" s="2">
        <v>11001</v>
      </c>
      <c r="C194" s="40" t="s">
        <v>831</v>
      </c>
      <c r="D194" s="172">
        <v>6951886</v>
      </c>
      <c r="E194" s="172">
        <v>8329347.2999999998</v>
      </c>
      <c r="F194" s="172">
        <v>8429347.3000000007</v>
      </c>
      <c r="G194" s="172">
        <v>8529347.3000000007</v>
      </c>
      <c r="H194" s="172">
        <v>9700000</v>
      </c>
      <c r="I194" s="25" t="s">
        <v>832</v>
      </c>
    </row>
    <row r="195" spans="1:9" s="3" customFormat="1" ht="66">
      <c r="A195" s="5">
        <v>1049</v>
      </c>
      <c r="B195" s="2">
        <v>11002</v>
      </c>
      <c r="C195" s="40" t="s">
        <v>833</v>
      </c>
      <c r="D195" s="172">
        <v>1862968.2</v>
      </c>
      <c r="E195" s="172">
        <v>2673879.6</v>
      </c>
      <c r="F195" s="172">
        <v>3074992</v>
      </c>
      <c r="G195" s="172">
        <v>3350814</v>
      </c>
      <c r="H195" s="172">
        <v>3534426</v>
      </c>
      <c r="I195" s="25"/>
    </row>
    <row r="196" spans="1:9" s="3" customFormat="1" ht="48" customHeight="1">
      <c r="A196" s="5">
        <v>1049</v>
      </c>
      <c r="B196" s="36" t="s">
        <v>235</v>
      </c>
      <c r="C196" s="96" t="s">
        <v>834</v>
      </c>
      <c r="D196" s="172"/>
      <c r="E196" s="172">
        <v>20000</v>
      </c>
      <c r="F196" s="172">
        <v>30000</v>
      </c>
      <c r="G196" s="172">
        <f>F196</f>
        <v>30000</v>
      </c>
      <c r="H196" s="172">
        <f>G196</f>
        <v>30000</v>
      </c>
      <c r="I196" s="25"/>
    </row>
    <row r="197" spans="1:9" s="3" customFormat="1" ht="66">
      <c r="A197" s="5">
        <v>1049</v>
      </c>
      <c r="B197" s="36">
        <v>11004</v>
      </c>
      <c r="C197" s="96" t="s">
        <v>835</v>
      </c>
      <c r="D197" s="172">
        <v>317753.3</v>
      </c>
      <c r="E197" s="172">
        <v>317753.3</v>
      </c>
      <c r="F197" s="172">
        <v>317753.3</v>
      </c>
      <c r="G197" s="172">
        <v>317753.3</v>
      </c>
      <c r="H197" s="172">
        <v>317753.3</v>
      </c>
      <c r="I197" s="25"/>
    </row>
    <row r="198" spans="1:9" s="3" customFormat="1" ht="82.5" customHeight="1">
      <c r="A198" s="5">
        <v>1049</v>
      </c>
      <c r="B198" s="36" t="s">
        <v>123</v>
      </c>
      <c r="C198" s="96" t="s">
        <v>836</v>
      </c>
      <c r="D198" s="172">
        <v>203555.4</v>
      </c>
      <c r="E198" s="172">
        <v>12000</v>
      </c>
      <c r="F198" s="172">
        <v>7000</v>
      </c>
      <c r="G198" s="172"/>
      <c r="H198" s="172"/>
      <c r="I198" s="124" t="s">
        <v>837</v>
      </c>
    </row>
    <row r="199" spans="1:9" s="3" customFormat="1" ht="82.5">
      <c r="A199" s="95">
        <v>1049</v>
      </c>
      <c r="B199" s="36" t="s">
        <v>255</v>
      </c>
      <c r="C199" s="96" t="s">
        <v>838</v>
      </c>
      <c r="D199" s="172">
        <v>241686.01489999998</v>
      </c>
      <c r="E199" s="172">
        <v>296141.2</v>
      </c>
      <c r="F199" s="172">
        <v>7000</v>
      </c>
      <c r="G199" s="172"/>
      <c r="H199" s="172"/>
      <c r="I199" s="119" t="s">
        <v>837</v>
      </c>
    </row>
    <row r="200" spans="1:9" s="3" customFormat="1" ht="66">
      <c r="A200" s="5">
        <v>1049</v>
      </c>
      <c r="B200" s="36" t="s">
        <v>839</v>
      </c>
      <c r="C200" s="96" t="s">
        <v>840</v>
      </c>
      <c r="D200" s="172">
        <v>2931576.1436000001</v>
      </c>
      <c r="E200" s="172">
        <v>1066280</v>
      </c>
      <c r="F200" s="172">
        <v>772655.7</v>
      </c>
      <c r="G200" s="172">
        <v>219611.5</v>
      </c>
      <c r="H200" s="172"/>
      <c r="I200" s="25" t="s">
        <v>841</v>
      </c>
    </row>
    <row r="201" spans="1:9" s="3" customFormat="1" ht="16.5" customHeight="1">
      <c r="A201" s="5">
        <v>1049</v>
      </c>
      <c r="B201" s="36" t="s">
        <v>137</v>
      </c>
      <c r="C201" s="96" t="s">
        <v>842</v>
      </c>
      <c r="D201" s="172">
        <v>25000</v>
      </c>
      <c r="E201" s="172">
        <v>1525000</v>
      </c>
      <c r="F201" s="172">
        <v>322500</v>
      </c>
      <c r="G201" s="172">
        <v>322500</v>
      </c>
      <c r="H201" s="172">
        <v>322500</v>
      </c>
      <c r="I201" s="25" t="s">
        <v>841</v>
      </c>
    </row>
    <row r="202" spans="1:9" s="3" customFormat="1" ht="66">
      <c r="A202" s="5">
        <v>1049</v>
      </c>
      <c r="B202" s="36" t="s">
        <v>139</v>
      </c>
      <c r="C202" s="96" t="s">
        <v>843</v>
      </c>
      <c r="D202" s="172">
        <v>183761.8</v>
      </c>
      <c r="E202" s="172">
        <v>300000</v>
      </c>
      <c r="F202" s="172">
        <v>150000</v>
      </c>
      <c r="G202" s="172">
        <v>150000</v>
      </c>
      <c r="H202" s="172">
        <v>150000</v>
      </c>
      <c r="I202" s="25" t="s">
        <v>844</v>
      </c>
    </row>
    <row r="203" spans="1:9" s="3" customFormat="1" ht="82.5">
      <c r="A203" s="5">
        <v>1049</v>
      </c>
      <c r="B203" s="36" t="s">
        <v>329</v>
      </c>
      <c r="C203" s="96" t="s">
        <v>845</v>
      </c>
      <c r="D203" s="172">
        <v>0</v>
      </c>
      <c r="E203" s="172">
        <v>200000</v>
      </c>
      <c r="F203" s="172">
        <v>452000</v>
      </c>
      <c r="G203" s="172">
        <v>252000</v>
      </c>
      <c r="H203" s="172">
        <v>252000</v>
      </c>
      <c r="I203" s="25" t="s">
        <v>844</v>
      </c>
    </row>
    <row r="204" spans="1:9" s="3" customFormat="1">
      <c r="A204" s="30">
        <v>1072</v>
      </c>
      <c r="B204" s="637" t="s">
        <v>975</v>
      </c>
      <c r="C204" s="638"/>
      <c r="D204" s="180">
        <f>SUM(D205:D208)</f>
        <v>1135884.3050000002</v>
      </c>
      <c r="E204" s="180">
        <f t="shared" ref="E204:H204" si="23">SUM(E205:E208)</f>
        <v>1319218.2</v>
      </c>
      <c r="F204" s="180">
        <f t="shared" si="23"/>
        <v>1343294.5</v>
      </c>
      <c r="G204" s="180">
        <f t="shared" si="23"/>
        <v>1156000</v>
      </c>
      <c r="H204" s="180">
        <f t="shared" si="23"/>
        <v>1156000</v>
      </c>
      <c r="I204" s="114"/>
    </row>
    <row r="205" spans="1:9" s="3" customFormat="1" ht="16.5" customHeight="1">
      <c r="A205" s="5">
        <v>1072</v>
      </c>
      <c r="B205" s="2">
        <v>11001</v>
      </c>
      <c r="C205" s="96" t="s">
        <v>846</v>
      </c>
      <c r="D205" s="182">
        <v>1009867.3</v>
      </c>
      <c r="E205" s="182">
        <v>1100000</v>
      </c>
      <c r="F205" s="182">
        <v>1100000</v>
      </c>
      <c r="G205" s="182">
        <v>1100000</v>
      </c>
      <c r="H205" s="182">
        <v>1100000</v>
      </c>
      <c r="I205" s="25" t="s">
        <v>808</v>
      </c>
    </row>
    <row r="206" spans="1:9" s="3" customFormat="1" ht="82.5">
      <c r="A206" s="5">
        <v>1072</v>
      </c>
      <c r="B206" s="2" t="s">
        <v>237</v>
      </c>
      <c r="C206" s="40" t="s">
        <v>847</v>
      </c>
      <c r="D206" s="181">
        <v>0</v>
      </c>
      <c r="E206" s="181">
        <v>4828.7</v>
      </c>
      <c r="F206" s="181">
        <v>7294.5</v>
      </c>
      <c r="G206" s="172"/>
      <c r="H206" s="172"/>
      <c r="I206" s="25" t="s">
        <v>848</v>
      </c>
    </row>
    <row r="207" spans="1:9" s="3" customFormat="1" ht="66">
      <c r="A207" s="5">
        <v>1072</v>
      </c>
      <c r="B207" s="2" t="s">
        <v>333</v>
      </c>
      <c r="C207" s="40" t="s">
        <v>849</v>
      </c>
      <c r="D207" s="181">
        <v>125334.47500000001</v>
      </c>
      <c r="E207" s="181">
        <v>169564.3</v>
      </c>
      <c r="F207" s="181">
        <v>180000</v>
      </c>
      <c r="G207" s="172"/>
      <c r="H207" s="172"/>
      <c r="I207" s="25" t="s">
        <v>850</v>
      </c>
    </row>
    <row r="208" spans="1:9" s="3" customFormat="1" ht="82.5">
      <c r="A208" s="5">
        <v>1072</v>
      </c>
      <c r="B208" s="2">
        <v>11007</v>
      </c>
      <c r="C208" s="96" t="s">
        <v>851</v>
      </c>
      <c r="D208" s="182">
        <v>682.53</v>
      </c>
      <c r="E208" s="182">
        <v>44825.2</v>
      </c>
      <c r="F208" s="182">
        <v>56000</v>
      </c>
      <c r="G208" s="182">
        <v>56000</v>
      </c>
      <c r="H208" s="182">
        <v>56000</v>
      </c>
      <c r="I208" s="119" t="s">
        <v>852</v>
      </c>
    </row>
    <row r="209" spans="1:9" s="3" customFormat="1">
      <c r="A209" s="30">
        <v>1073</v>
      </c>
      <c r="B209" s="714" t="s">
        <v>976</v>
      </c>
      <c r="C209" s="715"/>
      <c r="D209" s="183">
        <f>D210</f>
        <v>16925.3</v>
      </c>
      <c r="E209" s="183">
        <f t="shared" ref="E209:H209" si="24">E210</f>
        <v>22000</v>
      </c>
      <c r="F209" s="183">
        <f t="shared" si="24"/>
        <v>22000</v>
      </c>
      <c r="G209" s="183">
        <f t="shared" si="24"/>
        <v>22000</v>
      </c>
      <c r="H209" s="183">
        <f t="shared" si="24"/>
        <v>22000</v>
      </c>
      <c r="I209" s="117"/>
    </row>
    <row r="210" spans="1:9" s="3" customFormat="1" ht="33">
      <c r="A210" s="5">
        <v>1073</v>
      </c>
      <c r="B210" s="2">
        <v>11001</v>
      </c>
      <c r="C210" s="40" t="s">
        <v>853</v>
      </c>
      <c r="D210" s="172">
        <v>16925.3</v>
      </c>
      <c r="E210" s="172">
        <v>22000</v>
      </c>
      <c r="F210" s="172">
        <v>22000</v>
      </c>
      <c r="G210" s="172">
        <v>22000</v>
      </c>
      <c r="H210" s="172">
        <v>22000</v>
      </c>
      <c r="I210" s="25" t="s">
        <v>854</v>
      </c>
    </row>
    <row r="211" spans="1:9" s="3" customFormat="1">
      <c r="A211" s="30">
        <v>1077</v>
      </c>
      <c r="B211" s="714" t="s">
        <v>977</v>
      </c>
      <c r="C211" s="715"/>
      <c r="D211" s="180">
        <f>D212</f>
        <v>427532.4</v>
      </c>
      <c r="E211" s="180">
        <f t="shared" ref="E211:H211" si="25">E212</f>
        <v>327445</v>
      </c>
      <c r="F211" s="180">
        <f t="shared" si="25"/>
        <v>327445</v>
      </c>
      <c r="G211" s="180">
        <f t="shared" si="25"/>
        <v>327445</v>
      </c>
      <c r="H211" s="180">
        <f t="shared" si="25"/>
        <v>327445</v>
      </c>
      <c r="I211" s="114"/>
    </row>
    <row r="212" spans="1:9" s="3" customFormat="1" ht="66">
      <c r="A212" s="5">
        <v>1077</v>
      </c>
      <c r="B212" s="2">
        <v>12001</v>
      </c>
      <c r="C212" s="40" t="s">
        <v>855</v>
      </c>
      <c r="D212" s="172">
        <v>427532.4</v>
      </c>
      <c r="E212" s="172">
        <v>327445</v>
      </c>
      <c r="F212" s="172">
        <v>327445</v>
      </c>
      <c r="G212" s="172">
        <v>327445</v>
      </c>
      <c r="H212" s="172">
        <v>327445</v>
      </c>
      <c r="I212" s="25"/>
    </row>
    <row r="213" spans="1:9" s="3" customFormat="1" ht="16.5" customHeight="1">
      <c r="A213" s="30">
        <v>1079</v>
      </c>
      <c r="B213" s="714" t="s">
        <v>978</v>
      </c>
      <c r="C213" s="715"/>
      <c r="D213" s="180">
        <f>SUM(D214:D217)</f>
        <v>1535977.27</v>
      </c>
      <c r="E213" s="180">
        <f t="shared" ref="E213:H213" si="26">SUM(E214:E217)</f>
        <v>2165119.7999999998</v>
      </c>
      <c r="F213" s="180">
        <f t="shared" si="26"/>
        <v>2414946.5</v>
      </c>
      <c r="G213" s="180">
        <f t="shared" si="26"/>
        <v>2420966.5</v>
      </c>
      <c r="H213" s="180">
        <f t="shared" si="26"/>
        <v>2425966.5</v>
      </c>
      <c r="I213" s="114"/>
    </row>
    <row r="214" spans="1:9" s="3" customFormat="1" ht="66">
      <c r="A214" s="10">
        <v>1079</v>
      </c>
      <c r="B214" s="2">
        <v>11001</v>
      </c>
      <c r="C214" s="223" t="s">
        <v>856</v>
      </c>
      <c r="D214" s="182">
        <v>745189.97</v>
      </c>
      <c r="E214" s="182">
        <v>822562</v>
      </c>
      <c r="F214" s="182">
        <v>835000</v>
      </c>
      <c r="G214" s="182">
        <v>840000</v>
      </c>
      <c r="H214" s="182">
        <v>845000</v>
      </c>
      <c r="I214" s="25" t="s">
        <v>857</v>
      </c>
    </row>
    <row r="215" spans="1:9" s="3" customFormat="1" ht="82.5">
      <c r="A215" s="10">
        <v>1079</v>
      </c>
      <c r="B215" s="2">
        <v>11003</v>
      </c>
      <c r="C215" s="223" t="s">
        <v>858</v>
      </c>
      <c r="D215" s="182">
        <v>468777.4</v>
      </c>
      <c r="E215" s="182">
        <v>234388.7</v>
      </c>
      <c r="F215" s="182">
        <v>468777.4</v>
      </c>
      <c r="G215" s="182">
        <v>468777.4</v>
      </c>
      <c r="H215" s="182">
        <v>468777.4</v>
      </c>
      <c r="I215" s="119"/>
    </row>
    <row r="216" spans="1:9" s="3" customFormat="1" ht="33">
      <c r="A216" s="10">
        <v>1079</v>
      </c>
      <c r="B216" s="2">
        <v>11015</v>
      </c>
      <c r="C216" s="223" t="s">
        <v>859</v>
      </c>
      <c r="D216" s="182">
        <v>30608.2</v>
      </c>
      <c r="E216" s="182">
        <v>30980</v>
      </c>
      <c r="F216" s="182">
        <v>33980</v>
      </c>
      <c r="G216" s="182">
        <v>35000</v>
      </c>
      <c r="H216" s="182">
        <v>35000</v>
      </c>
      <c r="I216" s="119"/>
    </row>
    <row r="217" spans="1:9" s="3" customFormat="1" ht="33">
      <c r="A217" s="10">
        <v>1079</v>
      </c>
      <c r="B217" s="2">
        <v>11017</v>
      </c>
      <c r="C217" s="223" t="s">
        <v>860</v>
      </c>
      <c r="D217" s="182">
        <v>291401.7</v>
      </c>
      <c r="E217" s="182">
        <v>1077189.1000000001</v>
      </c>
      <c r="F217" s="182">
        <v>1077189.1000000001</v>
      </c>
      <c r="G217" s="182">
        <v>1077189.1000000001</v>
      </c>
      <c r="H217" s="182">
        <v>1077189.1000000001</v>
      </c>
      <c r="I217" s="119"/>
    </row>
    <row r="218" spans="1:9" s="3" customFormat="1">
      <c r="A218" s="32">
        <v>1109</v>
      </c>
      <c r="B218" s="714" t="s">
        <v>979</v>
      </c>
      <c r="C218" s="715"/>
      <c r="D218" s="183">
        <f>D219</f>
        <v>424781.6</v>
      </c>
      <c r="E218" s="183">
        <f t="shared" ref="E218:G218" si="27">E219</f>
        <v>459901.2</v>
      </c>
      <c r="F218" s="183">
        <f t="shared" si="27"/>
        <v>455000</v>
      </c>
      <c r="G218" s="183">
        <f t="shared" si="27"/>
        <v>460000</v>
      </c>
      <c r="H218" s="183">
        <f>H219</f>
        <v>460000</v>
      </c>
      <c r="I218" s="117"/>
    </row>
    <row r="219" spans="1:9" s="3" customFormat="1" ht="82.5">
      <c r="A219" s="5">
        <v>1109</v>
      </c>
      <c r="B219" s="2">
        <v>11001</v>
      </c>
      <c r="C219" s="96" t="s">
        <v>861</v>
      </c>
      <c r="D219" s="182">
        <v>424781.6</v>
      </c>
      <c r="E219" s="182">
        <v>459901.2</v>
      </c>
      <c r="F219" s="182">
        <v>455000</v>
      </c>
      <c r="G219" s="182">
        <v>460000</v>
      </c>
      <c r="H219" s="182">
        <v>460000</v>
      </c>
      <c r="I219" s="25" t="s">
        <v>806</v>
      </c>
    </row>
    <row r="220" spans="1:9" s="3" customFormat="1">
      <c r="A220" s="30">
        <v>1110</v>
      </c>
      <c r="B220" s="714" t="s">
        <v>980</v>
      </c>
      <c r="C220" s="715"/>
      <c r="D220" s="183">
        <f>D221</f>
        <v>36093.800000000003</v>
      </c>
      <c r="E220" s="183">
        <f t="shared" ref="E220:H220" si="28">E221</f>
        <v>30720</v>
      </c>
      <c r="F220" s="183">
        <f t="shared" si="28"/>
        <v>17520</v>
      </c>
      <c r="G220" s="183">
        <f t="shared" si="28"/>
        <v>52500</v>
      </c>
      <c r="H220" s="183">
        <f t="shared" si="28"/>
        <v>30720</v>
      </c>
      <c r="I220" s="114"/>
    </row>
    <row r="221" spans="1:9" s="3" customFormat="1" ht="247.5">
      <c r="A221" s="5">
        <v>1110</v>
      </c>
      <c r="B221" s="2">
        <v>12001</v>
      </c>
      <c r="C221" s="40" t="s">
        <v>862</v>
      </c>
      <c r="D221" s="172">
        <v>36093.800000000003</v>
      </c>
      <c r="E221" s="172">
        <v>30720</v>
      </c>
      <c r="F221" s="172">
        <v>17520</v>
      </c>
      <c r="G221" s="172">
        <v>52500</v>
      </c>
      <c r="H221" s="172">
        <f>E221</f>
        <v>30720</v>
      </c>
      <c r="I221" s="25" t="s">
        <v>863</v>
      </c>
    </row>
    <row r="222" spans="1:9" s="3" customFormat="1">
      <c r="A222" s="30">
        <v>1167</v>
      </c>
      <c r="B222" s="714" t="s">
        <v>981</v>
      </c>
      <c r="C222" s="715"/>
      <c r="D222" s="183">
        <f>D223</f>
        <v>0</v>
      </c>
      <c r="E222" s="183">
        <f t="shared" ref="E222:H222" si="29">E223</f>
        <v>176620.30000000002</v>
      </c>
      <c r="F222" s="183">
        <f t="shared" si="29"/>
        <v>276173.67025000002</v>
      </c>
      <c r="G222" s="183">
        <f t="shared" si="29"/>
        <v>386643.1</v>
      </c>
      <c r="H222" s="183">
        <f t="shared" si="29"/>
        <v>441877.87240000005</v>
      </c>
      <c r="I222" s="114"/>
    </row>
    <row r="223" spans="1:9" s="3" customFormat="1" ht="144" customHeight="1">
      <c r="A223" s="10">
        <v>1167</v>
      </c>
      <c r="B223" s="2">
        <v>11006</v>
      </c>
      <c r="C223" s="224" t="s">
        <v>864</v>
      </c>
      <c r="D223" s="172">
        <v>0</v>
      </c>
      <c r="E223" s="172">
        <v>176620.30000000002</v>
      </c>
      <c r="F223" s="172">
        <v>276173.67025000002</v>
      </c>
      <c r="G223" s="172">
        <v>386643.1</v>
      </c>
      <c r="H223" s="172">
        <v>441877.87240000005</v>
      </c>
      <c r="I223" s="25" t="s">
        <v>865</v>
      </c>
    </row>
    <row r="224" spans="1:9" s="3" customFormat="1" ht="144" customHeight="1">
      <c r="A224" s="32">
        <v>1171</v>
      </c>
      <c r="B224" s="714" t="s">
        <v>982</v>
      </c>
      <c r="C224" s="715"/>
      <c r="D224" s="183">
        <f>D225</f>
        <v>40264.199999999997</v>
      </c>
      <c r="E224" s="183">
        <f t="shared" ref="E224:H224" si="30">E225</f>
        <v>40264.199999999997</v>
      </c>
      <c r="F224" s="183">
        <f t="shared" si="30"/>
        <v>40264.199999999997</v>
      </c>
      <c r="G224" s="183">
        <f t="shared" si="30"/>
        <v>40264.199999999997</v>
      </c>
      <c r="H224" s="183">
        <f t="shared" si="30"/>
        <v>40264.199999999997</v>
      </c>
      <c r="I224" s="114"/>
    </row>
    <row r="225" spans="1:9" s="3" customFormat="1" ht="193.7" customHeight="1">
      <c r="A225" s="5">
        <v>1171</v>
      </c>
      <c r="B225" s="2">
        <v>11001</v>
      </c>
      <c r="C225" s="222" t="s">
        <v>866</v>
      </c>
      <c r="D225" s="172">
        <v>40264.199999999997</v>
      </c>
      <c r="E225" s="172">
        <v>40264.199999999997</v>
      </c>
      <c r="F225" s="172">
        <v>40264.199999999997</v>
      </c>
      <c r="G225" s="172">
        <v>40264.199999999997</v>
      </c>
      <c r="H225" s="172">
        <v>40264.199999999997</v>
      </c>
      <c r="I225" s="25" t="s">
        <v>867</v>
      </c>
    </row>
    <row r="226" spans="1:9" s="3" customFormat="1" ht="193.7" customHeight="1">
      <c r="A226" s="30">
        <v>1176</v>
      </c>
      <c r="B226" s="714" t="s">
        <v>983</v>
      </c>
      <c r="C226" s="715"/>
      <c r="D226" s="183">
        <f>SUM(D227:D230)</f>
        <v>493300.58669999999</v>
      </c>
      <c r="E226" s="183">
        <f t="shared" ref="E226:H226" si="31">SUM(E227:E230)</f>
        <v>586170.30000000005</v>
      </c>
      <c r="F226" s="183">
        <f t="shared" si="31"/>
        <v>617670.30000000005</v>
      </c>
      <c r="G226" s="183">
        <f t="shared" si="31"/>
        <v>629670.30000000005</v>
      </c>
      <c r="H226" s="183">
        <f t="shared" si="31"/>
        <v>641670.30000000005</v>
      </c>
      <c r="I226" s="114"/>
    </row>
    <row r="227" spans="1:9" s="3" customFormat="1" ht="88.5" customHeight="1">
      <c r="A227" s="5">
        <v>1176</v>
      </c>
      <c r="B227" s="2">
        <v>11001</v>
      </c>
      <c r="C227" s="40" t="s">
        <v>868</v>
      </c>
      <c r="D227" s="172">
        <v>422802.1</v>
      </c>
      <c r="E227" s="172">
        <v>503704</v>
      </c>
      <c r="F227" s="172">
        <v>533704</v>
      </c>
      <c r="G227" s="172">
        <v>545704</v>
      </c>
      <c r="H227" s="172">
        <v>557704</v>
      </c>
      <c r="I227" s="25" t="s">
        <v>869</v>
      </c>
    </row>
    <row r="228" spans="1:9" s="3" customFormat="1" ht="83.25" customHeight="1">
      <c r="A228" s="5">
        <f t="shared" ref="A228" si="32">A227</f>
        <v>1176</v>
      </c>
      <c r="B228" s="2">
        <v>11002</v>
      </c>
      <c r="C228" s="40" t="s">
        <v>870</v>
      </c>
      <c r="D228" s="172">
        <v>63364.7</v>
      </c>
      <c r="E228" s="172">
        <v>78766.3</v>
      </c>
      <c r="F228" s="172">
        <v>78766.3</v>
      </c>
      <c r="G228" s="172">
        <v>78766.3</v>
      </c>
      <c r="H228" s="172">
        <v>78766.3</v>
      </c>
      <c r="I228" s="25" t="s">
        <v>871</v>
      </c>
    </row>
    <row r="229" spans="1:9" s="3" customFormat="1" ht="62.25" customHeight="1">
      <c r="A229" s="10">
        <f>A228</f>
        <v>1176</v>
      </c>
      <c r="B229" s="2">
        <v>11005</v>
      </c>
      <c r="C229" s="40" t="s">
        <v>872</v>
      </c>
      <c r="D229" s="172">
        <v>5546.3927000000003</v>
      </c>
      <c r="E229" s="172">
        <v>2500</v>
      </c>
      <c r="F229" s="172">
        <v>4000</v>
      </c>
      <c r="G229" s="172">
        <v>4000</v>
      </c>
      <c r="H229" s="172">
        <v>4000</v>
      </c>
      <c r="I229" s="25" t="s">
        <v>873</v>
      </c>
    </row>
    <row r="230" spans="1:9" s="3" customFormat="1" ht="62.25" customHeight="1">
      <c r="A230" s="5">
        <f>A229</f>
        <v>1176</v>
      </c>
      <c r="B230" s="2">
        <v>31001</v>
      </c>
      <c r="C230" s="40" t="s">
        <v>874</v>
      </c>
      <c r="D230" s="172">
        <v>1587.394</v>
      </c>
      <c r="E230" s="172">
        <v>1200</v>
      </c>
      <c r="F230" s="172">
        <v>1200</v>
      </c>
      <c r="G230" s="172">
        <v>1200</v>
      </c>
      <c r="H230" s="172">
        <v>1200</v>
      </c>
      <c r="I230" s="25" t="s">
        <v>875</v>
      </c>
    </row>
    <row r="231" spans="1:9" s="3" customFormat="1" ht="62.25" customHeight="1">
      <c r="A231" s="30">
        <v>1212</v>
      </c>
      <c r="B231" s="714" t="s">
        <v>984</v>
      </c>
      <c r="C231" s="715"/>
      <c r="D231" s="183">
        <f>SUM(D232:D237)</f>
        <v>100769281.8</v>
      </c>
      <c r="E231" s="183">
        <f t="shared" ref="E231:H231" si="33">SUM(E232:E237)</f>
        <v>108803508.8</v>
      </c>
      <c r="F231" s="183">
        <f t="shared" si="33"/>
        <v>131634934.3</v>
      </c>
      <c r="G231" s="183">
        <f t="shared" si="33"/>
        <v>145100250</v>
      </c>
      <c r="H231" s="183">
        <f t="shared" si="33"/>
        <v>145600250</v>
      </c>
      <c r="I231" s="114"/>
    </row>
    <row r="232" spans="1:9" s="3" customFormat="1" ht="40.700000000000003" customHeight="1">
      <c r="A232" s="5">
        <v>1212</v>
      </c>
      <c r="B232" s="2">
        <v>12002</v>
      </c>
      <c r="C232" s="40" t="s">
        <v>876</v>
      </c>
      <c r="D232" s="172">
        <v>69769051.099999994</v>
      </c>
      <c r="E232" s="172">
        <v>85314575.099999994</v>
      </c>
      <c r="F232" s="172">
        <v>96500000</v>
      </c>
      <c r="G232" s="172">
        <f>H232</f>
        <v>110000000</v>
      </c>
      <c r="H232" s="172">
        <v>110000000</v>
      </c>
      <c r="I232" s="25"/>
    </row>
    <row r="233" spans="1:9" s="3" customFormat="1" ht="60.75" customHeight="1">
      <c r="A233" s="5">
        <v>1212</v>
      </c>
      <c r="B233" s="2">
        <v>12003</v>
      </c>
      <c r="C233" s="40" t="s">
        <v>877</v>
      </c>
      <c r="D233" s="172">
        <v>1000230.7</v>
      </c>
      <c r="E233" s="172">
        <v>988933.7</v>
      </c>
      <c r="F233" s="172">
        <v>1000250</v>
      </c>
      <c r="G233" s="172">
        <v>1000250</v>
      </c>
      <c r="H233" s="172">
        <v>1000250</v>
      </c>
      <c r="I233" s="25" t="s">
        <v>878</v>
      </c>
    </row>
    <row r="234" spans="1:9" s="3" customFormat="1" ht="60.75" customHeight="1">
      <c r="A234" s="5">
        <v>1212</v>
      </c>
      <c r="B234" s="2">
        <v>12007</v>
      </c>
      <c r="C234" s="40" t="s">
        <v>879</v>
      </c>
      <c r="D234" s="172">
        <v>30000000</v>
      </c>
      <c r="E234" s="172">
        <v>22000000</v>
      </c>
      <c r="F234" s="172">
        <f>D234</f>
        <v>30000000</v>
      </c>
      <c r="G234" s="172">
        <f>F234</f>
        <v>30000000</v>
      </c>
      <c r="H234" s="172">
        <f>G234</f>
        <v>30000000</v>
      </c>
      <c r="I234" s="109" t="s">
        <v>880</v>
      </c>
    </row>
    <row r="235" spans="1:9" s="3" customFormat="1" ht="54.75" customHeight="1">
      <c r="A235" s="10">
        <v>1212</v>
      </c>
      <c r="B235" s="4">
        <v>12025</v>
      </c>
      <c r="C235" s="40" t="s">
        <v>881</v>
      </c>
      <c r="D235" s="172" t="s">
        <v>882</v>
      </c>
      <c r="E235" s="172">
        <v>0</v>
      </c>
      <c r="F235" s="172">
        <v>2000000</v>
      </c>
      <c r="G235" s="172">
        <v>2500000</v>
      </c>
      <c r="H235" s="172">
        <v>3000000</v>
      </c>
      <c r="I235" s="25" t="s">
        <v>883</v>
      </c>
    </row>
    <row r="236" spans="1:9" s="3" customFormat="1" ht="70.5" customHeight="1">
      <c r="A236" s="10">
        <v>1212</v>
      </c>
      <c r="B236" s="2">
        <v>12026</v>
      </c>
      <c r="C236" s="40" t="s">
        <v>884</v>
      </c>
      <c r="D236" s="181"/>
      <c r="E236" s="181" t="s">
        <v>885</v>
      </c>
      <c r="F236" s="172">
        <v>1634684.3</v>
      </c>
      <c r="G236" s="172">
        <v>1100000</v>
      </c>
      <c r="H236" s="172">
        <f>G236</f>
        <v>1100000</v>
      </c>
      <c r="I236" s="25"/>
    </row>
    <row r="237" spans="1:9" s="3" customFormat="1" ht="74.25" customHeight="1">
      <c r="A237" s="10">
        <v>1212</v>
      </c>
      <c r="B237" s="2">
        <v>12027</v>
      </c>
      <c r="C237" s="40" t="s">
        <v>886</v>
      </c>
      <c r="D237" s="172"/>
      <c r="E237" s="172">
        <v>500000</v>
      </c>
      <c r="F237" s="172">
        <v>500000</v>
      </c>
      <c r="G237" s="172">
        <v>500000</v>
      </c>
      <c r="H237" s="172">
        <v>500000</v>
      </c>
      <c r="I237" s="25"/>
    </row>
    <row r="238" spans="1:9" s="3" customFormat="1" ht="74.25" customHeight="1">
      <c r="A238" s="32">
        <v>1232</v>
      </c>
      <c r="B238" s="714" t="s">
        <v>985</v>
      </c>
      <c r="C238" s="715"/>
      <c r="D238" s="183">
        <f>SUM(D239:D240)</f>
        <v>897836.93099000002</v>
      </c>
      <c r="E238" s="183">
        <f t="shared" ref="E238:H238" si="34">SUM(E239:E240)</f>
        <v>1226494.3999999999</v>
      </c>
      <c r="F238" s="183">
        <f t="shared" si="34"/>
        <v>2000000</v>
      </c>
      <c r="G238" s="183">
        <f t="shared" si="34"/>
        <v>2000000</v>
      </c>
      <c r="H238" s="183">
        <f t="shared" si="34"/>
        <v>2000000</v>
      </c>
      <c r="I238" s="114"/>
    </row>
    <row r="239" spans="1:9" s="3" customFormat="1" ht="53.25" customHeight="1">
      <c r="A239" s="10">
        <v>1232</v>
      </c>
      <c r="B239" s="2">
        <v>11001</v>
      </c>
      <c r="C239" s="40" t="s">
        <v>887</v>
      </c>
      <c r="D239" s="172">
        <v>34067.430990000001</v>
      </c>
      <c r="E239" s="172">
        <v>34494.400000000001</v>
      </c>
      <c r="F239" s="172"/>
      <c r="G239" s="172"/>
      <c r="H239" s="172"/>
      <c r="I239" s="119" t="s">
        <v>888</v>
      </c>
    </row>
    <row r="240" spans="1:9" s="3" customFormat="1" ht="54.75" customHeight="1">
      <c r="A240" s="5">
        <v>1232</v>
      </c>
      <c r="B240" s="2">
        <v>12002</v>
      </c>
      <c r="C240" s="40" t="s">
        <v>889</v>
      </c>
      <c r="D240" s="172">
        <v>863769.5</v>
      </c>
      <c r="E240" s="172">
        <v>1192000</v>
      </c>
      <c r="F240" s="172">
        <v>2000000</v>
      </c>
      <c r="G240" s="172">
        <f>F240</f>
        <v>2000000</v>
      </c>
      <c r="H240" s="172">
        <f>G240</f>
        <v>2000000</v>
      </c>
      <c r="I240" s="25" t="s">
        <v>890</v>
      </c>
    </row>
    <row r="241" spans="1:9">
      <c r="A241" s="703" t="s">
        <v>9</v>
      </c>
      <c r="B241" s="704"/>
      <c r="C241" s="705"/>
      <c r="D241" s="177">
        <f>D242+D253+D255+D258+D268+D277+D281+D283+D285+D287+D289</f>
        <v>98658236.8647836</v>
      </c>
      <c r="E241" s="177">
        <f t="shared" ref="E241:H241" si="35">E242+E253+E255+E258+E268+E277+E281+E283+E285+E287+E289</f>
        <v>136726486.20000005</v>
      </c>
      <c r="F241" s="177">
        <f t="shared" si="35"/>
        <v>232500053.8283754</v>
      </c>
      <c r="G241" s="177">
        <f t="shared" si="35"/>
        <v>234914069.60025707</v>
      </c>
      <c r="H241" s="177">
        <f t="shared" si="35"/>
        <v>202181353.09807998</v>
      </c>
      <c r="I241" s="113"/>
    </row>
    <row r="242" spans="1:9">
      <c r="A242" s="71">
        <v>1004</v>
      </c>
      <c r="B242" s="693" t="s">
        <v>969</v>
      </c>
      <c r="C242" s="694"/>
      <c r="D242" s="183">
        <f>SUM(D243:D252)</f>
        <v>12113802.235427203</v>
      </c>
      <c r="E242" s="183">
        <f t="shared" ref="E242:H242" si="36">SUM(E243:E252)</f>
        <v>21182439.600000001</v>
      </c>
      <c r="F242" s="183">
        <f t="shared" si="36"/>
        <v>33633905.242075391</v>
      </c>
      <c r="G242" s="183">
        <f t="shared" si="36"/>
        <v>23455843.439437069</v>
      </c>
      <c r="H242" s="183">
        <f t="shared" si="36"/>
        <v>10000000</v>
      </c>
      <c r="I242" s="117"/>
    </row>
    <row r="243" spans="1:9" s="92" customFormat="1" ht="137.25" customHeight="1">
      <c r="A243" s="83">
        <v>1004</v>
      </c>
      <c r="B243" s="164" t="s">
        <v>708</v>
      </c>
      <c r="C243" s="225" t="s">
        <v>892</v>
      </c>
      <c r="D243" s="172">
        <v>0</v>
      </c>
      <c r="E243" s="172">
        <v>1486847</v>
      </c>
      <c r="F243" s="172">
        <v>3500000</v>
      </c>
      <c r="G243" s="172">
        <v>1320000</v>
      </c>
      <c r="H243" s="172"/>
      <c r="I243" s="83" t="s">
        <v>893</v>
      </c>
    </row>
    <row r="244" spans="1:9" s="92" customFormat="1" ht="81" customHeight="1">
      <c r="A244" s="83">
        <v>1004</v>
      </c>
      <c r="B244" s="164" t="s">
        <v>74</v>
      </c>
      <c r="C244" s="225" t="s">
        <v>894</v>
      </c>
      <c r="D244" s="172">
        <v>2046768.3501000002</v>
      </c>
      <c r="E244" s="172">
        <v>2599133.9</v>
      </c>
      <c r="F244" s="172">
        <v>300000</v>
      </c>
      <c r="G244" s="172"/>
      <c r="H244" s="172"/>
      <c r="I244" s="83" t="s">
        <v>895</v>
      </c>
    </row>
    <row r="245" spans="1:9" s="92" customFormat="1" ht="81" customHeight="1">
      <c r="A245" s="83">
        <v>1004</v>
      </c>
      <c r="B245" s="165" t="s">
        <v>896</v>
      </c>
      <c r="C245" s="219" t="s">
        <v>897</v>
      </c>
      <c r="D245" s="172">
        <v>249894.5</v>
      </c>
      <c r="E245" s="172">
        <v>672000</v>
      </c>
      <c r="F245" s="172">
        <v>1000000</v>
      </c>
      <c r="G245" s="172">
        <v>1000000</v>
      </c>
      <c r="H245" s="172">
        <v>1000000</v>
      </c>
      <c r="I245" s="83" t="s">
        <v>898</v>
      </c>
    </row>
    <row r="246" spans="1:9" s="92" customFormat="1" ht="111" customHeight="1">
      <c r="A246" s="83">
        <v>1004</v>
      </c>
      <c r="B246" s="164" t="s">
        <v>347</v>
      </c>
      <c r="C246" s="225" t="s">
        <v>899</v>
      </c>
      <c r="D246" s="172">
        <v>5298230.4298272002</v>
      </c>
      <c r="E246" s="172">
        <v>6657754.9000000004</v>
      </c>
      <c r="F246" s="172">
        <v>8224352.6210376956</v>
      </c>
      <c r="G246" s="172">
        <v>7035843.4394370699</v>
      </c>
      <c r="H246" s="172"/>
      <c r="I246" s="83" t="s">
        <v>900</v>
      </c>
    </row>
    <row r="247" spans="1:9" s="92" customFormat="1" ht="108.75" customHeight="1">
      <c r="A247" s="83">
        <v>1004</v>
      </c>
      <c r="B247" s="164" t="s">
        <v>901</v>
      </c>
      <c r="C247" s="225" t="s">
        <v>902</v>
      </c>
      <c r="D247" s="172">
        <v>3807632.8555000005</v>
      </c>
      <c r="E247" s="172">
        <v>1178220.8999999999</v>
      </c>
      <c r="F247" s="172">
        <v>300000</v>
      </c>
      <c r="G247" s="172"/>
      <c r="H247" s="172"/>
      <c r="I247" s="83" t="s">
        <v>903</v>
      </c>
    </row>
    <row r="248" spans="1:9" s="92" customFormat="1" ht="129.75" customHeight="1">
      <c r="A248" s="83">
        <v>1004</v>
      </c>
      <c r="B248" s="164" t="s">
        <v>904</v>
      </c>
      <c r="C248" s="225" t="s">
        <v>905</v>
      </c>
      <c r="D248" s="172">
        <v>0</v>
      </c>
      <c r="E248" s="172">
        <v>3199619.1</v>
      </c>
      <c r="F248" s="172">
        <v>3809552.6210376965</v>
      </c>
      <c r="G248" s="172">
        <v>2100000</v>
      </c>
      <c r="H248" s="172"/>
      <c r="I248" s="83" t="s">
        <v>900</v>
      </c>
    </row>
    <row r="249" spans="1:9" s="92" customFormat="1" ht="62.25" customHeight="1">
      <c r="A249" s="83">
        <v>1004</v>
      </c>
      <c r="B249" s="165" t="s">
        <v>906</v>
      </c>
      <c r="C249" s="219" t="s">
        <v>907</v>
      </c>
      <c r="D249" s="172">
        <v>130457.3</v>
      </c>
      <c r="E249" s="172">
        <v>2700000</v>
      </c>
      <c r="F249" s="172">
        <v>7000000</v>
      </c>
      <c r="G249" s="172">
        <v>3000000</v>
      </c>
      <c r="H249" s="172">
        <v>0</v>
      </c>
      <c r="I249" s="83" t="s">
        <v>908</v>
      </c>
    </row>
    <row r="250" spans="1:9" s="92" customFormat="1" ht="82.5" customHeight="1">
      <c r="A250" s="83">
        <v>1004</v>
      </c>
      <c r="B250" s="165" t="s">
        <v>909</v>
      </c>
      <c r="C250" s="219" t="s">
        <v>910</v>
      </c>
      <c r="D250" s="172">
        <v>34884.800000000003</v>
      </c>
      <c r="E250" s="172">
        <v>400000</v>
      </c>
      <c r="F250" s="172">
        <v>500000</v>
      </c>
      <c r="G250" s="172">
        <v>500000</v>
      </c>
      <c r="H250" s="172">
        <v>500000</v>
      </c>
      <c r="I250" s="83" t="s">
        <v>806</v>
      </c>
    </row>
    <row r="251" spans="1:9" s="92" customFormat="1" ht="80.25" customHeight="1">
      <c r="A251" s="83">
        <v>1004</v>
      </c>
      <c r="B251" s="165" t="s">
        <v>911</v>
      </c>
      <c r="C251" s="219" t="s">
        <v>912</v>
      </c>
      <c r="D251" s="172">
        <v>384515</v>
      </c>
      <c r="E251" s="172">
        <v>2000000</v>
      </c>
      <c r="F251" s="172">
        <v>8500000</v>
      </c>
      <c r="G251" s="172">
        <v>8000000</v>
      </c>
      <c r="H251" s="172">
        <v>8000000</v>
      </c>
      <c r="I251" s="83" t="s">
        <v>806</v>
      </c>
    </row>
    <row r="252" spans="1:9" s="92" customFormat="1" ht="129.75" customHeight="1">
      <c r="A252" s="83">
        <v>1004</v>
      </c>
      <c r="B252" s="165" t="s">
        <v>913</v>
      </c>
      <c r="C252" s="219" t="s">
        <v>914</v>
      </c>
      <c r="D252" s="172">
        <v>161419</v>
      </c>
      <c r="E252" s="172">
        <v>288863.8</v>
      </c>
      <c r="F252" s="172">
        <v>500000</v>
      </c>
      <c r="G252" s="172">
        <v>500000</v>
      </c>
      <c r="H252" s="172">
        <v>500000</v>
      </c>
      <c r="I252" s="83" t="s">
        <v>915</v>
      </c>
    </row>
    <row r="253" spans="1:9" s="92" customFormat="1" ht="129.75" customHeight="1">
      <c r="A253" s="166">
        <v>1017</v>
      </c>
      <c r="B253" s="730" t="s">
        <v>970</v>
      </c>
      <c r="C253" s="731"/>
      <c r="D253" s="184">
        <f>D254</f>
        <v>798335.66</v>
      </c>
      <c r="E253" s="184">
        <f t="shared" ref="E253:H253" si="37">E254</f>
        <v>1000000</v>
      </c>
      <c r="F253" s="184">
        <f t="shared" si="37"/>
        <v>1800000</v>
      </c>
      <c r="G253" s="184">
        <f t="shared" si="37"/>
        <v>1800000</v>
      </c>
      <c r="H253" s="184">
        <f t="shared" si="37"/>
        <v>1800000</v>
      </c>
      <c r="I253" s="166"/>
    </row>
    <row r="254" spans="1:9" s="92" customFormat="1" ht="168" customHeight="1">
      <c r="A254" s="91">
        <v>1017</v>
      </c>
      <c r="B254" s="164">
        <v>21001</v>
      </c>
      <c r="C254" s="219" t="s">
        <v>916</v>
      </c>
      <c r="D254" s="185">
        <v>798335.66</v>
      </c>
      <c r="E254" s="185">
        <v>1000000</v>
      </c>
      <c r="F254" s="185">
        <v>1800000</v>
      </c>
      <c r="G254" s="185">
        <v>1800000</v>
      </c>
      <c r="H254" s="185">
        <v>1800000</v>
      </c>
      <c r="I254" s="83" t="s">
        <v>917</v>
      </c>
    </row>
    <row r="255" spans="1:9" s="92" customFormat="1" ht="168" customHeight="1">
      <c r="A255" s="167">
        <v>1019</v>
      </c>
      <c r="B255" s="735" t="s">
        <v>971</v>
      </c>
      <c r="C255" s="736"/>
      <c r="D255" s="184">
        <f>SUM(D256:D257)</f>
        <v>3488618.6016000002</v>
      </c>
      <c r="E255" s="184">
        <f t="shared" ref="E255:H255" si="38">SUM(E256:E257)</f>
        <v>3880816.5</v>
      </c>
      <c r="F255" s="184">
        <f t="shared" si="38"/>
        <v>2788372.7</v>
      </c>
      <c r="G255" s="184">
        <f t="shared" si="38"/>
        <v>0</v>
      </c>
      <c r="H255" s="184">
        <f t="shared" si="38"/>
        <v>0</v>
      </c>
      <c r="I255" s="166"/>
    </row>
    <row r="256" spans="1:9" s="92" customFormat="1" ht="159" customHeight="1">
      <c r="A256" s="83">
        <v>1019</v>
      </c>
      <c r="B256" s="164" t="s">
        <v>918</v>
      </c>
      <c r="C256" s="225" t="s">
        <v>919</v>
      </c>
      <c r="D256" s="186">
        <v>3319249.1858000001</v>
      </c>
      <c r="E256" s="186">
        <v>3707487</v>
      </c>
      <c r="F256" s="186">
        <v>2624372.7000000002</v>
      </c>
      <c r="G256" s="186"/>
      <c r="H256" s="186"/>
      <c r="I256" s="83" t="s">
        <v>920</v>
      </c>
    </row>
    <row r="257" spans="1:9" s="92" customFormat="1" ht="117.75" customHeight="1">
      <c r="A257" s="83">
        <v>1019</v>
      </c>
      <c r="B257" s="164" t="s">
        <v>921</v>
      </c>
      <c r="C257" s="225" t="s">
        <v>922</v>
      </c>
      <c r="D257" s="186">
        <v>169369.41580000002</v>
      </c>
      <c r="E257" s="186">
        <v>173329.5</v>
      </c>
      <c r="F257" s="186">
        <v>164000</v>
      </c>
      <c r="G257" s="186"/>
      <c r="H257" s="186"/>
      <c r="I257" s="83" t="s">
        <v>826</v>
      </c>
    </row>
    <row r="258" spans="1:9" s="92" customFormat="1" ht="117.75" customHeight="1">
      <c r="A258" s="166">
        <v>1049</v>
      </c>
      <c r="B258" s="735" t="s">
        <v>974</v>
      </c>
      <c r="C258" s="736"/>
      <c r="D258" s="187">
        <f>SUM(D259:D267)</f>
        <v>73917140.633250192</v>
      </c>
      <c r="E258" s="187">
        <f t="shared" ref="E258:H258" si="39">SUM(E259:E267)</f>
        <v>96335085.600000009</v>
      </c>
      <c r="F258" s="187">
        <f t="shared" si="39"/>
        <v>179660044.59999999</v>
      </c>
      <c r="G258" s="187">
        <f t="shared" si="39"/>
        <v>205483017</v>
      </c>
      <c r="H258" s="187">
        <f t="shared" si="39"/>
        <v>185572045</v>
      </c>
      <c r="I258" s="166"/>
    </row>
    <row r="259" spans="1:9" s="92" customFormat="1" ht="102.75" customHeight="1">
      <c r="A259" s="83">
        <v>1049</v>
      </c>
      <c r="B259" s="164">
        <v>21001</v>
      </c>
      <c r="C259" s="225" t="s">
        <v>923</v>
      </c>
      <c r="D259" s="186">
        <v>59695056.090899996</v>
      </c>
      <c r="E259" s="186">
        <v>56332618</v>
      </c>
      <c r="F259" s="186">
        <v>59149250</v>
      </c>
      <c r="G259" s="186">
        <v>62106712.5</v>
      </c>
      <c r="H259" s="186">
        <v>65212045</v>
      </c>
      <c r="I259" s="83" t="s">
        <v>924</v>
      </c>
    </row>
    <row r="260" spans="1:9" s="92" customFormat="1" ht="80.25" customHeight="1">
      <c r="A260" s="83">
        <v>1049</v>
      </c>
      <c r="B260" s="164">
        <v>21002</v>
      </c>
      <c r="C260" s="225" t="s">
        <v>925</v>
      </c>
      <c r="D260" s="186">
        <v>706235.90300000005</v>
      </c>
      <c r="E260" s="186">
        <v>1740900.9</v>
      </c>
      <c r="F260" s="186">
        <v>3995100</v>
      </c>
      <c r="G260" s="186">
        <v>4471200</v>
      </c>
      <c r="H260" s="186">
        <v>5500000</v>
      </c>
      <c r="I260" s="83"/>
    </row>
    <row r="261" spans="1:9" s="92" customFormat="1" ht="54" customHeight="1">
      <c r="A261" s="159">
        <v>1049</v>
      </c>
      <c r="B261" s="165" t="s">
        <v>926</v>
      </c>
      <c r="C261" s="219" t="s">
        <v>927</v>
      </c>
      <c r="D261" s="186">
        <v>6457752.7842361005</v>
      </c>
      <c r="E261" s="186">
        <v>11071590.9</v>
      </c>
      <c r="F261" s="186">
        <v>7678429.5999999996</v>
      </c>
      <c r="G261" s="186">
        <v>2160000</v>
      </c>
      <c r="H261" s="188"/>
      <c r="I261" s="158" t="s">
        <v>928</v>
      </c>
    </row>
    <row r="262" spans="1:9" s="92" customFormat="1" ht="54" customHeight="1">
      <c r="A262" s="83">
        <v>1049</v>
      </c>
      <c r="B262" s="165" t="s">
        <v>929</v>
      </c>
      <c r="C262" s="219" t="s">
        <v>930</v>
      </c>
      <c r="D262" s="186">
        <v>1832463.2635641</v>
      </c>
      <c r="E262" s="186">
        <v>7570160.4000000004</v>
      </c>
      <c r="F262" s="186">
        <v>997265</v>
      </c>
      <c r="G262" s="188"/>
      <c r="H262" s="188"/>
      <c r="I262" s="158" t="s">
        <v>931</v>
      </c>
    </row>
    <row r="263" spans="1:9" s="92" customFormat="1" ht="54" customHeight="1">
      <c r="A263" s="83">
        <v>1049</v>
      </c>
      <c r="B263" s="165" t="s">
        <v>932</v>
      </c>
      <c r="C263" s="219" t="s">
        <v>933</v>
      </c>
      <c r="D263" s="186">
        <v>5225632.5915499991</v>
      </c>
      <c r="E263" s="186">
        <v>13830833.4</v>
      </c>
      <c r="F263" s="185">
        <v>26800000</v>
      </c>
      <c r="G263" s="185">
        <v>32085104.5</v>
      </c>
      <c r="H263" s="186">
        <v>8000000</v>
      </c>
      <c r="I263" s="158" t="s">
        <v>934</v>
      </c>
    </row>
    <row r="264" spans="1:9" s="92" customFormat="1" ht="53.25" customHeight="1">
      <c r="A264" s="83">
        <v>1049</v>
      </c>
      <c r="B264" s="165" t="s">
        <v>935</v>
      </c>
      <c r="C264" s="219" t="s">
        <v>936</v>
      </c>
      <c r="D264" s="188">
        <v>0</v>
      </c>
      <c r="E264" s="186">
        <v>250000</v>
      </c>
      <c r="F264" s="186">
        <v>50040000</v>
      </c>
      <c r="G264" s="186">
        <v>69960000</v>
      </c>
      <c r="H264" s="188">
        <f>+G264</f>
        <v>69960000</v>
      </c>
      <c r="I264" s="158" t="s">
        <v>937</v>
      </c>
    </row>
    <row r="265" spans="1:9" s="92" customFormat="1" ht="68.25" customHeight="1">
      <c r="A265" s="83">
        <v>1049</v>
      </c>
      <c r="B265" s="165" t="s">
        <v>938</v>
      </c>
      <c r="C265" s="219" t="s">
        <v>939</v>
      </c>
      <c r="D265" s="188">
        <v>0</v>
      </c>
      <c r="E265" s="186">
        <v>250000</v>
      </c>
      <c r="F265" s="186">
        <v>20000000</v>
      </c>
      <c r="G265" s="186">
        <v>20000000</v>
      </c>
      <c r="H265" s="186">
        <v>20000000</v>
      </c>
      <c r="I265" s="158" t="s">
        <v>940</v>
      </c>
    </row>
    <row r="266" spans="1:9" s="92" customFormat="1" ht="85.7" customHeight="1">
      <c r="A266" s="83">
        <v>1049</v>
      </c>
      <c r="B266" s="90">
        <v>21020</v>
      </c>
      <c r="C266" s="225" t="s">
        <v>941</v>
      </c>
      <c r="D266" s="188" t="s">
        <v>967</v>
      </c>
      <c r="E266" s="188">
        <v>5088982</v>
      </c>
      <c r="F266" s="188">
        <v>5800000</v>
      </c>
      <c r="G266" s="188">
        <v>6300000</v>
      </c>
      <c r="H266" s="188">
        <v>6900000</v>
      </c>
      <c r="I266" s="83" t="s">
        <v>942</v>
      </c>
    </row>
    <row r="267" spans="1:9" s="92" customFormat="1" ht="100.5" customHeight="1">
      <c r="A267" s="83">
        <v>1049</v>
      </c>
      <c r="B267" s="165" t="s">
        <v>943</v>
      </c>
      <c r="C267" s="219" t="s">
        <v>944</v>
      </c>
      <c r="D267" s="188">
        <v>0</v>
      </c>
      <c r="E267" s="186">
        <v>200000</v>
      </c>
      <c r="F267" s="186">
        <v>5200000</v>
      </c>
      <c r="G267" s="186">
        <v>8400000</v>
      </c>
      <c r="H267" s="186">
        <v>10000000</v>
      </c>
      <c r="I267" s="158" t="s">
        <v>945</v>
      </c>
    </row>
    <row r="268" spans="1:9" s="92" customFormat="1" ht="100.5" customHeight="1">
      <c r="A268" s="166">
        <v>1072</v>
      </c>
      <c r="B268" s="735" t="s">
        <v>975</v>
      </c>
      <c r="C268" s="736"/>
      <c r="D268" s="187">
        <f>SUM(D269:D276)</f>
        <v>6857260.8055061996</v>
      </c>
      <c r="E268" s="187">
        <f t="shared" ref="E268:H268" si="40">SUM(E269:E276)</f>
        <v>11587089.399999999</v>
      </c>
      <c r="F268" s="187">
        <f t="shared" si="40"/>
        <v>11210720</v>
      </c>
      <c r="G268" s="187">
        <f t="shared" si="40"/>
        <v>0</v>
      </c>
      <c r="H268" s="187">
        <f t="shared" si="40"/>
        <v>0</v>
      </c>
      <c r="I268" s="166"/>
    </row>
    <row r="269" spans="1:9" s="92" customFormat="1" ht="155.25" customHeight="1">
      <c r="A269" s="83">
        <v>1072</v>
      </c>
      <c r="B269" s="164" t="s">
        <v>257</v>
      </c>
      <c r="C269" s="225" t="s">
        <v>946</v>
      </c>
      <c r="D269" s="186">
        <v>12850.464600000001</v>
      </c>
      <c r="E269" s="186">
        <v>1500000</v>
      </c>
      <c r="F269" s="186">
        <v>3973320</v>
      </c>
      <c r="G269" s="188"/>
      <c r="H269" s="188"/>
      <c r="I269" s="83" t="s">
        <v>947</v>
      </c>
    </row>
    <row r="270" spans="1:9" s="92" customFormat="1" ht="131.25" customHeight="1">
      <c r="A270" s="83">
        <v>1072</v>
      </c>
      <c r="B270" s="164" t="s">
        <v>74</v>
      </c>
      <c r="C270" s="225" t="s">
        <v>948</v>
      </c>
      <c r="D270" s="186">
        <v>3046040.9137999997</v>
      </c>
      <c r="E270" s="186">
        <v>3671091.3</v>
      </c>
      <c r="F270" s="186">
        <v>3531840</v>
      </c>
      <c r="G270" s="188"/>
      <c r="H270" s="188"/>
      <c r="I270" s="83" t="s">
        <v>949</v>
      </c>
    </row>
    <row r="271" spans="1:9" s="92" customFormat="1" ht="103.7" customHeight="1">
      <c r="A271" s="83">
        <v>1072</v>
      </c>
      <c r="B271" s="164" t="s">
        <v>896</v>
      </c>
      <c r="C271" s="225" t="s">
        <v>950</v>
      </c>
      <c r="D271" s="186">
        <v>640947.50450000004</v>
      </c>
      <c r="E271" s="186">
        <v>1930871.2000000002</v>
      </c>
      <c r="F271" s="186">
        <v>1986660</v>
      </c>
      <c r="G271" s="188"/>
      <c r="H271" s="188"/>
      <c r="I271" s="83" t="s">
        <v>949</v>
      </c>
    </row>
    <row r="272" spans="1:9" s="92" customFormat="1" ht="123.75" customHeight="1">
      <c r="A272" s="83">
        <v>1072</v>
      </c>
      <c r="B272" s="164" t="s">
        <v>345</v>
      </c>
      <c r="C272" s="225" t="s">
        <v>951</v>
      </c>
      <c r="D272" s="186">
        <v>552392.8458447</v>
      </c>
      <c r="E272" s="186">
        <v>1471083.4</v>
      </c>
      <c r="F272" s="186">
        <v>1458900</v>
      </c>
      <c r="G272" s="188"/>
      <c r="H272" s="188"/>
      <c r="I272" s="83" t="s">
        <v>949</v>
      </c>
    </row>
    <row r="273" spans="1:9" s="92" customFormat="1" ht="144" customHeight="1">
      <c r="A273" s="83">
        <v>1072</v>
      </c>
      <c r="B273" s="164" t="s">
        <v>347</v>
      </c>
      <c r="C273" s="225" t="s">
        <v>952</v>
      </c>
      <c r="D273" s="186">
        <v>848299.30076149991</v>
      </c>
      <c r="E273" s="186">
        <v>1038166.2</v>
      </c>
      <c r="F273" s="186">
        <v>0</v>
      </c>
      <c r="G273" s="186">
        <v>0</v>
      </c>
      <c r="H273" s="186">
        <v>0</v>
      </c>
      <c r="I273" s="83" t="s">
        <v>953</v>
      </c>
    </row>
    <row r="274" spans="1:9" s="92" customFormat="1" ht="111.75" customHeight="1">
      <c r="A274" s="83">
        <v>1072</v>
      </c>
      <c r="B274" s="164" t="s">
        <v>901</v>
      </c>
      <c r="C274" s="225" t="s">
        <v>954</v>
      </c>
      <c r="D274" s="186">
        <v>40121.076000000001</v>
      </c>
      <c r="E274" s="186">
        <v>39579.1</v>
      </c>
      <c r="F274" s="186">
        <v>0</v>
      </c>
      <c r="G274" s="186">
        <v>0</v>
      </c>
      <c r="H274" s="186">
        <v>0</v>
      </c>
      <c r="I274" s="83" t="s">
        <v>953</v>
      </c>
    </row>
    <row r="275" spans="1:9" s="92" customFormat="1" ht="41.25" customHeight="1">
      <c r="A275" s="83">
        <v>1072</v>
      </c>
      <c r="B275" s="164">
        <v>31010</v>
      </c>
      <c r="C275" s="219" t="s">
        <v>955</v>
      </c>
      <c r="D275" s="185">
        <v>1716608.7</v>
      </c>
      <c r="E275" s="185">
        <v>1917698.2</v>
      </c>
      <c r="F275" s="185">
        <f>-G275</f>
        <v>0</v>
      </c>
      <c r="G275" s="185">
        <v>0</v>
      </c>
      <c r="H275" s="185">
        <v>0</v>
      </c>
      <c r="I275" s="91"/>
    </row>
    <row r="276" spans="1:9" s="92" customFormat="1" ht="78.75" customHeight="1">
      <c r="A276" s="83">
        <v>1072</v>
      </c>
      <c r="B276" s="164">
        <v>31013</v>
      </c>
      <c r="C276" s="219" t="s">
        <v>956</v>
      </c>
      <c r="D276" s="185">
        <v>0</v>
      </c>
      <c r="E276" s="185">
        <v>18600</v>
      </c>
      <c r="F276" s="185">
        <v>260000</v>
      </c>
      <c r="G276" s="188"/>
      <c r="H276" s="188"/>
      <c r="I276" s="83" t="s">
        <v>957</v>
      </c>
    </row>
    <row r="277" spans="1:9" s="92" customFormat="1" ht="78.75" customHeight="1">
      <c r="A277" s="166">
        <v>1079</v>
      </c>
      <c r="B277" s="735" t="s">
        <v>978</v>
      </c>
      <c r="C277" s="736"/>
      <c r="D277" s="187">
        <f>SUM(D278:D280)</f>
        <v>5020.8999999999996</v>
      </c>
      <c r="E277" s="187">
        <f t="shared" ref="E277:H277" si="41">SUM(E278:E280)</f>
        <v>1274911.8</v>
      </c>
      <c r="F277" s="187">
        <f t="shared" si="41"/>
        <v>1226316.6000000001</v>
      </c>
      <c r="G277" s="187">
        <f t="shared" si="41"/>
        <v>1226316.6000000001</v>
      </c>
      <c r="H277" s="187">
        <f t="shared" si="41"/>
        <v>1226316.6000000001</v>
      </c>
      <c r="I277" s="166"/>
    </row>
    <row r="278" spans="1:9" s="92" customFormat="1" ht="57.75" customHeight="1">
      <c r="A278" s="83">
        <v>1079</v>
      </c>
      <c r="B278" s="164">
        <v>31001</v>
      </c>
      <c r="C278" s="226" t="s">
        <v>958</v>
      </c>
      <c r="D278" s="185">
        <v>5020.8999999999996</v>
      </c>
      <c r="E278" s="185">
        <v>11783.1</v>
      </c>
      <c r="F278" s="185">
        <v>10000</v>
      </c>
      <c r="G278" s="185">
        <v>10000</v>
      </c>
      <c r="H278" s="185">
        <v>10000</v>
      </c>
      <c r="I278" s="93"/>
    </row>
    <row r="279" spans="1:9" s="92" customFormat="1" ht="62.25" customHeight="1">
      <c r="A279" s="83">
        <v>1079</v>
      </c>
      <c r="B279" s="164">
        <v>31004</v>
      </c>
      <c r="C279" s="226" t="s">
        <v>959</v>
      </c>
      <c r="D279" s="188"/>
      <c r="E279" s="185">
        <v>46812.1</v>
      </c>
      <c r="F279" s="188"/>
      <c r="G279" s="188"/>
      <c r="H279" s="188"/>
      <c r="I279" s="93"/>
    </row>
    <row r="280" spans="1:9" s="92" customFormat="1" ht="56.25" customHeight="1">
      <c r="A280" s="83">
        <v>1079</v>
      </c>
      <c r="B280" s="164">
        <v>31005</v>
      </c>
      <c r="C280" s="226" t="s">
        <v>960</v>
      </c>
      <c r="D280" s="188"/>
      <c r="E280" s="185">
        <v>1216316.6000000001</v>
      </c>
      <c r="F280" s="185">
        <v>1216316.6000000001</v>
      </c>
      <c r="G280" s="185">
        <v>1216316.6000000001</v>
      </c>
      <c r="H280" s="185">
        <v>1216316.6000000001</v>
      </c>
      <c r="I280" s="93"/>
    </row>
    <row r="281" spans="1:9" s="92" customFormat="1" ht="56.25" customHeight="1">
      <c r="A281" s="166">
        <v>1109</v>
      </c>
      <c r="B281" s="735" t="s">
        <v>979</v>
      </c>
      <c r="C281" s="736"/>
      <c r="D281" s="187">
        <f>D282</f>
        <v>4355.8999999999996</v>
      </c>
      <c r="E281" s="187">
        <f t="shared" ref="E281:H281" si="42">E282</f>
        <v>8889</v>
      </c>
      <c r="F281" s="187">
        <f t="shared" si="42"/>
        <v>9000</v>
      </c>
      <c r="G281" s="187">
        <f t="shared" si="42"/>
        <v>9000</v>
      </c>
      <c r="H281" s="187">
        <f t="shared" si="42"/>
        <v>9000</v>
      </c>
      <c r="I281" s="166"/>
    </row>
    <row r="282" spans="1:9" s="92" customFormat="1" ht="54" customHeight="1">
      <c r="A282" s="160">
        <v>1109</v>
      </c>
      <c r="B282" s="164">
        <v>31001</v>
      </c>
      <c r="C282" s="219" t="s">
        <v>961</v>
      </c>
      <c r="D282" s="185">
        <v>4355.8999999999996</v>
      </c>
      <c r="E282" s="185">
        <v>8889</v>
      </c>
      <c r="F282" s="185">
        <v>9000</v>
      </c>
      <c r="G282" s="185">
        <v>9000</v>
      </c>
      <c r="H282" s="185">
        <v>9000</v>
      </c>
      <c r="I282" s="83" t="s">
        <v>808</v>
      </c>
    </row>
    <row r="283" spans="1:9" s="92" customFormat="1" ht="54" customHeight="1">
      <c r="A283" s="166">
        <v>1167</v>
      </c>
      <c r="B283" s="735" t="s">
        <v>981</v>
      </c>
      <c r="C283" s="736"/>
      <c r="D283" s="187">
        <f>D284</f>
        <v>0</v>
      </c>
      <c r="E283" s="187">
        <f t="shared" ref="E283:H283" si="43">E284</f>
        <v>1082525.8</v>
      </c>
      <c r="F283" s="187">
        <f t="shared" si="43"/>
        <v>670494.68629999994</v>
      </c>
      <c r="G283" s="187">
        <f t="shared" si="43"/>
        <v>938692.56081999978</v>
      </c>
      <c r="H283" s="187">
        <f t="shared" si="43"/>
        <v>1072791.4980799998</v>
      </c>
      <c r="I283" s="166"/>
    </row>
    <row r="284" spans="1:9" s="92" customFormat="1" ht="195" customHeight="1">
      <c r="A284" s="161">
        <v>1167</v>
      </c>
      <c r="B284" s="164">
        <v>32006</v>
      </c>
      <c r="C284" s="227" t="s">
        <v>962</v>
      </c>
      <c r="D284" s="185"/>
      <c r="E284" s="185">
        <v>1082525.8</v>
      </c>
      <c r="F284" s="185">
        <v>670494.68629999994</v>
      </c>
      <c r="G284" s="185">
        <v>938692.56081999978</v>
      </c>
      <c r="H284" s="185">
        <v>1072791.4980799998</v>
      </c>
      <c r="I284" s="171" t="s">
        <v>963</v>
      </c>
    </row>
    <row r="285" spans="1:9" s="92" customFormat="1" ht="108" customHeight="1">
      <c r="A285" s="169">
        <v>1176</v>
      </c>
      <c r="B285" s="735" t="s">
        <v>983</v>
      </c>
      <c r="C285" s="736"/>
      <c r="D285" s="189">
        <f>D286</f>
        <v>1587.394</v>
      </c>
      <c r="E285" s="189">
        <f t="shared" ref="E285:H285" si="44">E286</f>
        <v>1200</v>
      </c>
      <c r="F285" s="189">
        <f t="shared" si="44"/>
        <v>1200</v>
      </c>
      <c r="G285" s="189">
        <f t="shared" si="44"/>
        <v>1200</v>
      </c>
      <c r="H285" s="189">
        <f t="shared" si="44"/>
        <v>1200</v>
      </c>
      <c r="I285" s="170"/>
    </row>
    <row r="286" spans="1:9" s="92" customFormat="1" ht="70.5" customHeight="1">
      <c r="A286" s="91">
        <v>1176</v>
      </c>
      <c r="B286" s="164">
        <v>31001</v>
      </c>
      <c r="C286" s="225" t="s">
        <v>874</v>
      </c>
      <c r="D286" s="185">
        <v>1587.394</v>
      </c>
      <c r="E286" s="185">
        <v>1200</v>
      </c>
      <c r="F286" s="185">
        <v>1200</v>
      </c>
      <c r="G286" s="185">
        <v>1200</v>
      </c>
      <c r="H286" s="185">
        <v>1200</v>
      </c>
      <c r="I286" s="83" t="s">
        <v>875</v>
      </c>
    </row>
    <row r="287" spans="1:9" s="92" customFormat="1" ht="70.5" customHeight="1">
      <c r="A287" s="166">
        <v>1212</v>
      </c>
      <c r="B287" s="735" t="s">
        <v>984</v>
      </c>
      <c r="C287" s="736"/>
      <c r="D287" s="187">
        <f>D288</f>
        <v>1392847.2</v>
      </c>
      <c r="E287" s="187">
        <f t="shared" ref="E287:H287" si="45">E288</f>
        <v>0</v>
      </c>
      <c r="F287" s="187">
        <f t="shared" si="45"/>
        <v>1500000</v>
      </c>
      <c r="G287" s="187">
        <f t="shared" si="45"/>
        <v>2000000</v>
      </c>
      <c r="H287" s="187">
        <f t="shared" si="45"/>
        <v>2500000</v>
      </c>
      <c r="I287" s="166"/>
    </row>
    <row r="288" spans="1:9" s="92" customFormat="1" ht="141.75" customHeight="1">
      <c r="A288" s="83">
        <v>1212</v>
      </c>
      <c r="B288" s="164">
        <v>32001</v>
      </c>
      <c r="C288" s="225" t="s">
        <v>964</v>
      </c>
      <c r="D288" s="185">
        <v>1392847.2</v>
      </c>
      <c r="E288" s="185">
        <v>0</v>
      </c>
      <c r="F288" s="185">
        <v>1500000</v>
      </c>
      <c r="G288" s="185">
        <v>2000000</v>
      </c>
      <c r="H288" s="185">
        <v>2500000</v>
      </c>
      <c r="I288" s="83" t="s">
        <v>965</v>
      </c>
    </row>
    <row r="289" spans="1:9" s="92" customFormat="1" ht="81" customHeight="1">
      <c r="A289" s="166">
        <v>1232</v>
      </c>
      <c r="B289" s="735" t="s">
        <v>985</v>
      </c>
      <c r="C289" s="736"/>
      <c r="D289" s="187">
        <f>D290</f>
        <v>79267.535000000003</v>
      </c>
      <c r="E289" s="187">
        <f t="shared" ref="E289:H289" si="46">E290</f>
        <v>373528.5</v>
      </c>
      <c r="F289" s="187">
        <f t="shared" si="46"/>
        <v>0</v>
      </c>
      <c r="G289" s="187">
        <f t="shared" si="46"/>
        <v>0</v>
      </c>
      <c r="H289" s="187">
        <f t="shared" si="46"/>
        <v>0</v>
      </c>
      <c r="I289" s="166"/>
    </row>
    <row r="290" spans="1:9" s="92" customFormat="1" ht="148.69999999999999" customHeight="1">
      <c r="A290" s="83">
        <v>1232</v>
      </c>
      <c r="B290" s="164">
        <v>32001</v>
      </c>
      <c r="C290" s="225" t="s">
        <v>966</v>
      </c>
      <c r="D290" s="185">
        <v>79267.535000000003</v>
      </c>
      <c r="E290" s="185">
        <v>373528.5</v>
      </c>
      <c r="F290" s="185"/>
      <c r="G290" s="185"/>
      <c r="H290" s="185"/>
      <c r="I290" s="91" t="s">
        <v>888</v>
      </c>
    </row>
    <row r="291" spans="1:9">
      <c r="A291" s="69"/>
      <c r="B291" s="70"/>
      <c r="C291" s="221"/>
      <c r="D291" s="177"/>
      <c r="E291" s="177"/>
      <c r="F291" s="177"/>
      <c r="G291" s="177"/>
      <c r="H291" s="177"/>
      <c r="I291" s="113"/>
    </row>
    <row r="292" spans="1:9" s="1" customFormat="1">
      <c r="A292" s="66" t="s">
        <v>17</v>
      </c>
      <c r="B292" s="303" t="s">
        <v>25</v>
      </c>
      <c r="C292" s="228"/>
      <c r="D292" s="176"/>
      <c r="E292" s="176"/>
      <c r="F292" s="176"/>
      <c r="G292" s="176"/>
      <c r="H292" s="176"/>
      <c r="I292" s="112"/>
    </row>
    <row r="293" spans="1:9">
      <c r="A293" s="69" t="s">
        <v>8</v>
      </c>
      <c r="B293" s="70"/>
      <c r="C293" s="221"/>
      <c r="D293" s="177"/>
      <c r="E293" s="177"/>
      <c r="F293" s="177"/>
      <c r="G293" s="177"/>
      <c r="H293" s="177"/>
      <c r="I293" s="113"/>
    </row>
    <row r="294" spans="1:9">
      <c r="A294" s="69" t="s">
        <v>9</v>
      </c>
      <c r="B294" s="70"/>
      <c r="C294" s="221"/>
      <c r="D294" s="177"/>
      <c r="E294" s="177"/>
      <c r="F294" s="177"/>
      <c r="G294" s="177"/>
      <c r="H294" s="177"/>
      <c r="I294" s="113"/>
    </row>
    <row r="295" spans="1:9" s="1" customFormat="1">
      <c r="A295" s="66" t="s">
        <v>17</v>
      </c>
      <c r="B295" s="303" t="s">
        <v>26</v>
      </c>
      <c r="C295" s="228"/>
      <c r="D295" s="176"/>
      <c r="E295" s="176"/>
      <c r="F295" s="176"/>
      <c r="G295" s="176"/>
      <c r="H295" s="176"/>
      <c r="I295" s="112"/>
    </row>
    <row r="296" spans="1:9">
      <c r="A296" s="69" t="s">
        <v>8</v>
      </c>
      <c r="B296" s="70"/>
      <c r="C296" s="221"/>
      <c r="D296" s="177"/>
      <c r="E296" s="177"/>
      <c r="F296" s="177"/>
      <c r="G296" s="177"/>
      <c r="H296" s="177"/>
      <c r="I296" s="113"/>
    </row>
    <row r="297" spans="1:9">
      <c r="A297" s="69" t="s">
        <v>9</v>
      </c>
      <c r="B297" s="70"/>
      <c r="C297" s="221"/>
      <c r="D297" s="177"/>
      <c r="E297" s="177"/>
      <c r="F297" s="177"/>
      <c r="G297" s="177"/>
      <c r="H297" s="177"/>
      <c r="I297" s="113"/>
    </row>
    <row r="298" spans="1:9" s="1" customFormat="1">
      <c r="A298" s="66" t="s">
        <v>17</v>
      </c>
      <c r="B298" s="303" t="s">
        <v>27</v>
      </c>
      <c r="C298" s="228"/>
      <c r="D298" s="176"/>
      <c r="E298" s="176"/>
      <c r="F298" s="176"/>
      <c r="G298" s="176"/>
      <c r="H298" s="176"/>
      <c r="I298" s="112"/>
    </row>
    <row r="299" spans="1:9">
      <c r="A299" s="69" t="s">
        <v>8</v>
      </c>
      <c r="B299" s="70"/>
      <c r="C299" s="221"/>
      <c r="D299" s="177"/>
      <c r="E299" s="177"/>
      <c r="F299" s="177"/>
      <c r="G299" s="177"/>
      <c r="H299" s="177"/>
      <c r="I299" s="113"/>
    </row>
    <row r="300" spans="1:9">
      <c r="A300" s="69" t="s">
        <v>9</v>
      </c>
      <c r="B300" s="70"/>
      <c r="C300" s="221"/>
      <c r="D300" s="177"/>
      <c r="E300" s="177"/>
      <c r="F300" s="177"/>
      <c r="G300" s="177"/>
      <c r="H300" s="177"/>
      <c r="I300" s="113"/>
    </row>
    <row r="301" spans="1:9">
      <c r="A301" s="157" t="s">
        <v>17</v>
      </c>
      <c r="B301" s="710" t="s">
        <v>28</v>
      </c>
      <c r="C301" s="711"/>
      <c r="D301" s="176">
        <f>D302+D313</f>
        <v>13823162.5</v>
      </c>
      <c r="E301" s="176">
        <f>E302+E313</f>
        <v>14653864</v>
      </c>
      <c r="F301" s="176">
        <f>F302+F313</f>
        <v>16221345.800000001</v>
      </c>
      <c r="G301" s="176">
        <f>G302+G313</f>
        <v>15749319.4</v>
      </c>
      <c r="H301" s="176">
        <f>H302+H313</f>
        <v>15957202.800000001</v>
      </c>
      <c r="I301" s="112"/>
    </row>
    <row r="302" spans="1:9">
      <c r="A302" s="703" t="s">
        <v>8</v>
      </c>
      <c r="B302" s="704"/>
      <c r="C302" s="705"/>
      <c r="D302" s="177">
        <f>D303+D307</f>
        <v>13823162.5</v>
      </c>
      <c r="E302" s="177">
        <f>E303+E307</f>
        <v>14653864</v>
      </c>
      <c r="F302" s="177">
        <f>F303+F307</f>
        <v>16146345.800000001</v>
      </c>
      <c r="G302" s="177">
        <f>G303+G307</f>
        <v>15749319.4</v>
      </c>
      <c r="H302" s="177">
        <f>H303+H307</f>
        <v>15957202.800000001</v>
      </c>
      <c r="I302" s="113"/>
    </row>
    <row r="303" spans="1:9">
      <c r="A303" s="71">
        <v>1061</v>
      </c>
      <c r="B303" s="693" t="s">
        <v>366</v>
      </c>
      <c r="C303" s="694"/>
      <c r="D303" s="180">
        <f>SUM(D304:D306)</f>
        <v>2712145.4</v>
      </c>
      <c r="E303" s="180">
        <f>SUM(E304:E306)</f>
        <v>2691880.6</v>
      </c>
      <c r="F303" s="180">
        <f>SUM(F304:F306)</f>
        <v>3075930.8000000003</v>
      </c>
      <c r="G303" s="180">
        <f>SUM(G304:G306)</f>
        <v>2449810.4</v>
      </c>
      <c r="H303" s="180">
        <f>SUM(H304:H306)</f>
        <v>3113225.8000000003</v>
      </c>
      <c r="I303" s="117"/>
    </row>
    <row r="304" spans="1:9" ht="49.5">
      <c r="A304" s="72">
        <v>1061</v>
      </c>
      <c r="B304" s="73">
        <v>11001</v>
      </c>
      <c r="C304" s="229" t="s">
        <v>370</v>
      </c>
      <c r="D304" s="181">
        <v>2712145.4</v>
      </c>
      <c r="E304" s="181">
        <v>2144810.4</v>
      </c>
      <c r="F304" s="181">
        <v>2628860.6</v>
      </c>
      <c r="G304" s="181">
        <v>2349810.4</v>
      </c>
      <c r="H304" s="181">
        <v>2666155.6</v>
      </c>
      <c r="I304" s="125"/>
    </row>
    <row r="305" spans="1:9" ht="67.5">
      <c r="A305" s="72">
        <v>1061</v>
      </c>
      <c r="B305" s="73">
        <v>11008</v>
      </c>
      <c r="C305" s="229" t="s">
        <v>368</v>
      </c>
      <c r="D305" s="181">
        <v>0</v>
      </c>
      <c r="E305" s="181">
        <v>100000</v>
      </c>
      <c r="F305" s="181">
        <v>0</v>
      </c>
      <c r="G305" s="181">
        <v>100000</v>
      </c>
      <c r="H305" s="181">
        <v>0</v>
      </c>
      <c r="I305" s="121" t="s">
        <v>371</v>
      </c>
    </row>
    <row r="306" spans="1:9" ht="94.5">
      <c r="A306" s="72">
        <v>1061</v>
      </c>
      <c r="B306" s="73">
        <v>11009</v>
      </c>
      <c r="C306" s="229" t="s">
        <v>369</v>
      </c>
      <c r="D306" s="181">
        <v>0</v>
      </c>
      <c r="E306" s="181">
        <v>447070.2</v>
      </c>
      <c r="F306" s="181">
        <v>447070.2</v>
      </c>
      <c r="G306" s="181">
        <v>0</v>
      </c>
      <c r="H306" s="181">
        <v>447070.2</v>
      </c>
      <c r="I306" s="121" t="s">
        <v>367</v>
      </c>
    </row>
    <row r="307" spans="1:9">
      <c r="A307" s="71">
        <v>1128</v>
      </c>
      <c r="B307" s="691" t="s">
        <v>372</v>
      </c>
      <c r="C307" s="692"/>
      <c r="D307" s="180">
        <f>SUM(D308:D309)</f>
        <v>11111017.1</v>
      </c>
      <c r="E307" s="180">
        <f>SUM(E308:E309)</f>
        <v>11961983.4</v>
      </c>
      <c r="F307" s="180">
        <f>SUM(F308:F309)</f>
        <v>13070415</v>
      </c>
      <c r="G307" s="180">
        <f>SUM(G308:G309)</f>
        <v>13299509</v>
      </c>
      <c r="H307" s="180">
        <f>SUM(H308:H309)</f>
        <v>12843977</v>
      </c>
      <c r="I307" s="126"/>
    </row>
    <row r="308" spans="1:9" ht="99">
      <c r="A308" s="72">
        <v>1128</v>
      </c>
      <c r="B308" s="74">
        <v>11001</v>
      </c>
      <c r="C308" s="40" t="s">
        <v>373</v>
      </c>
      <c r="D308" s="181">
        <v>11111017.1</v>
      </c>
      <c r="E308" s="172">
        <v>11961983.4</v>
      </c>
      <c r="F308" s="172">
        <v>11961983.4</v>
      </c>
      <c r="G308" s="172">
        <v>11961983.4</v>
      </c>
      <c r="H308" s="172">
        <v>11961983.4</v>
      </c>
      <c r="I308" s="122"/>
    </row>
    <row r="309" spans="1:9" ht="216">
      <c r="A309" s="72">
        <v>1128</v>
      </c>
      <c r="B309" s="74">
        <v>11001</v>
      </c>
      <c r="C309" s="40" t="s">
        <v>724</v>
      </c>
      <c r="D309" s="181">
        <v>0</v>
      </c>
      <c r="E309" s="172">
        <v>0</v>
      </c>
      <c r="F309" s="190">
        <f>759263.6+122730+226438</f>
        <v>1108431.6000000001</v>
      </c>
      <c r="G309" s="190">
        <f>759263.6+122730+278410+177122</f>
        <v>1337525.6000000001</v>
      </c>
      <c r="H309" s="190">
        <f>759263.6+122730</f>
        <v>881993.6</v>
      </c>
      <c r="I309" s="121" t="s">
        <v>374</v>
      </c>
    </row>
    <row r="310" spans="1:9">
      <c r="A310" s="299" t="s">
        <v>9</v>
      </c>
      <c r="B310" s="89"/>
      <c r="C310" s="230"/>
      <c r="D310" s="177">
        <f>D311</f>
        <v>94653.4</v>
      </c>
      <c r="E310" s="177">
        <f>E311</f>
        <v>29788</v>
      </c>
      <c r="F310" s="177">
        <f>F311</f>
        <v>219908</v>
      </c>
      <c r="G310" s="177">
        <f>G311</f>
        <v>52588</v>
      </c>
      <c r="H310" s="177">
        <f>H311</f>
        <v>35788</v>
      </c>
      <c r="I310" s="127"/>
    </row>
    <row r="311" spans="1:9">
      <c r="A311" s="78">
        <v>1061</v>
      </c>
      <c r="B311" s="706" t="s">
        <v>366</v>
      </c>
      <c r="C311" s="694"/>
      <c r="D311" s="180">
        <f>SUM(D312:D313)</f>
        <v>94653.4</v>
      </c>
      <c r="E311" s="180">
        <f>SUM(E312:E313)</f>
        <v>29788</v>
      </c>
      <c r="F311" s="180">
        <f>SUM(F312:F313)</f>
        <v>219908</v>
      </c>
      <c r="G311" s="180">
        <f>SUM(G312:G313)</f>
        <v>52588</v>
      </c>
      <c r="H311" s="180">
        <f>SUM(H312:H313)</f>
        <v>35788</v>
      </c>
      <c r="I311" s="126"/>
    </row>
    <row r="312" spans="1:9" ht="66">
      <c r="A312" s="75">
        <v>1061</v>
      </c>
      <c r="B312" s="76">
        <v>31001</v>
      </c>
      <c r="C312" s="231" t="s">
        <v>375</v>
      </c>
      <c r="D312" s="181">
        <v>94653.4</v>
      </c>
      <c r="E312" s="181">
        <v>29788</v>
      </c>
      <c r="F312" s="181">
        <v>144908</v>
      </c>
      <c r="G312" s="181">
        <v>52588</v>
      </c>
      <c r="H312" s="181">
        <v>35788</v>
      </c>
      <c r="I312" s="121"/>
    </row>
    <row r="313" spans="1:9" ht="67.5">
      <c r="A313" s="75">
        <v>1061</v>
      </c>
      <c r="B313" s="76">
        <v>31002</v>
      </c>
      <c r="C313" s="231" t="s">
        <v>376</v>
      </c>
      <c r="D313" s="181"/>
      <c r="E313" s="181"/>
      <c r="F313" s="181">
        <v>75000</v>
      </c>
      <c r="G313" s="181"/>
      <c r="H313" s="181"/>
      <c r="I313" s="121" t="s">
        <v>377</v>
      </c>
    </row>
    <row r="314" spans="1:9" s="1" customFormat="1">
      <c r="A314" s="66" t="s">
        <v>17</v>
      </c>
      <c r="B314" s="707" t="s">
        <v>29</v>
      </c>
      <c r="C314" s="708"/>
      <c r="D314" s="176">
        <f>D315+D318</f>
        <v>303594.09999999998</v>
      </c>
      <c r="E314" s="176">
        <f t="shared" ref="E314:H314" si="47">E315+E318</f>
        <v>1307125.6000000001</v>
      </c>
      <c r="F314" s="176">
        <f t="shared" si="47"/>
        <v>6844764.5999999996</v>
      </c>
      <c r="G314" s="176">
        <f t="shared" si="47"/>
        <v>3243600</v>
      </c>
      <c r="H314" s="176">
        <f t="shared" si="47"/>
        <v>3243600</v>
      </c>
      <c r="I314" s="112"/>
    </row>
    <row r="315" spans="1:9">
      <c r="A315" s="703" t="s">
        <v>8</v>
      </c>
      <c r="B315" s="704"/>
      <c r="C315" s="705"/>
      <c r="D315" s="177">
        <f>D316</f>
        <v>303449.59999999998</v>
      </c>
      <c r="E315" s="177">
        <f t="shared" ref="E315:H316" si="48">E316</f>
        <v>1307125.6000000001</v>
      </c>
      <c r="F315" s="177">
        <f t="shared" si="48"/>
        <v>3243600</v>
      </c>
      <c r="G315" s="177">
        <f t="shared" si="48"/>
        <v>3243600</v>
      </c>
      <c r="H315" s="177">
        <f t="shared" si="48"/>
        <v>3243600</v>
      </c>
      <c r="I315" s="113"/>
    </row>
    <row r="316" spans="1:9">
      <c r="A316" s="67">
        <v>1173</v>
      </c>
      <c r="B316" s="733" t="s">
        <v>996</v>
      </c>
      <c r="C316" s="734"/>
      <c r="D316" s="305">
        <f>D317</f>
        <v>303449.59999999998</v>
      </c>
      <c r="E316" s="305">
        <f t="shared" si="48"/>
        <v>1307125.6000000001</v>
      </c>
      <c r="F316" s="305">
        <f t="shared" si="48"/>
        <v>3243600</v>
      </c>
      <c r="G316" s="305">
        <f t="shared" si="48"/>
        <v>3243600</v>
      </c>
      <c r="H316" s="305">
        <f t="shared" si="48"/>
        <v>3243600</v>
      </c>
      <c r="I316" s="274"/>
    </row>
    <row r="317" spans="1:9" ht="103.5">
      <c r="A317" s="68">
        <v>1173</v>
      </c>
      <c r="B317" s="76">
        <v>11001</v>
      </c>
      <c r="C317" s="77" t="s">
        <v>997</v>
      </c>
      <c r="D317" s="304">
        <v>303449.59999999998</v>
      </c>
      <c r="E317" s="304">
        <v>1307125.6000000001</v>
      </c>
      <c r="F317" s="304">
        <v>3243600</v>
      </c>
      <c r="G317" s="304">
        <v>3243600</v>
      </c>
      <c r="H317" s="304">
        <v>3243600</v>
      </c>
      <c r="I317" s="225" t="s">
        <v>1027</v>
      </c>
    </row>
    <row r="318" spans="1:9">
      <c r="A318" s="703" t="s">
        <v>9</v>
      </c>
      <c r="B318" s="704"/>
      <c r="C318" s="705"/>
      <c r="D318" s="176">
        <f>D319+D322</f>
        <v>144.5</v>
      </c>
      <c r="E318" s="176">
        <f>E319+E322</f>
        <v>0</v>
      </c>
      <c r="F318" s="176">
        <f>F319+F322</f>
        <v>3601164.6</v>
      </c>
      <c r="G318" s="176">
        <f>G319+G322</f>
        <v>0</v>
      </c>
      <c r="H318" s="176">
        <f>H319+H322</f>
        <v>0</v>
      </c>
      <c r="I318" s="112"/>
    </row>
    <row r="319" spans="1:9">
      <c r="A319" s="71">
        <v>1155</v>
      </c>
      <c r="B319" s="732" t="s">
        <v>994</v>
      </c>
      <c r="C319" s="732"/>
      <c r="D319" s="180">
        <f>SUM(D320:D321)</f>
        <v>144.5</v>
      </c>
      <c r="E319" s="180">
        <f t="shared" ref="E319:H319" si="49">SUM(E320:E321)</f>
        <v>0</v>
      </c>
      <c r="F319" s="180">
        <f t="shared" si="49"/>
        <v>1164.5999999999999</v>
      </c>
      <c r="G319" s="275">
        <f t="shared" si="49"/>
        <v>0</v>
      </c>
      <c r="H319" s="275">
        <f t="shared" si="49"/>
        <v>0</v>
      </c>
      <c r="I319" s="276"/>
    </row>
    <row r="320" spans="1:9" ht="132">
      <c r="A320" s="68">
        <v>1155</v>
      </c>
      <c r="B320" s="76">
        <v>32004</v>
      </c>
      <c r="C320" s="77" t="s">
        <v>990</v>
      </c>
      <c r="D320" s="272">
        <v>137.9</v>
      </c>
      <c r="E320" s="272">
        <v>0</v>
      </c>
      <c r="F320" s="271">
        <v>925</v>
      </c>
      <c r="G320" s="272"/>
      <c r="H320" s="272"/>
      <c r="I320" s="273" t="s">
        <v>991</v>
      </c>
    </row>
    <row r="321" spans="1:15" ht="214.5">
      <c r="A321" s="68">
        <v>1155</v>
      </c>
      <c r="B321" s="76">
        <v>21001</v>
      </c>
      <c r="C321" s="77" t="s">
        <v>989</v>
      </c>
      <c r="D321" s="272">
        <v>6.6</v>
      </c>
      <c r="E321" s="272">
        <v>0</v>
      </c>
      <c r="F321" s="271">
        <v>239.6</v>
      </c>
      <c r="G321" s="272"/>
      <c r="H321" s="272"/>
      <c r="I321" s="273" t="s">
        <v>992</v>
      </c>
    </row>
    <row r="322" spans="1:15">
      <c r="A322" s="71">
        <v>1016</v>
      </c>
      <c r="B322" s="709" t="s">
        <v>995</v>
      </c>
      <c r="C322" s="709"/>
      <c r="D322" s="180">
        <f>D323</f>
        <v>0</v>
      </c>
      <c r="E322" s="180">
        <f t="shared" ref="E322:H322" si="50">E323</f>
        <v>0</v>
      </c>
      <c r="F322" s="180">
        <f t="shared" si="50"/>
        <v>3600000</v>
      </c>
      <c r="G322" s="180">
        <f t="shared" si="50"/>
        <v>0</v>
      </c>
      <c r="H322" s="180">
        <f t="shared" si="50"/>
        <v>0</v>
      </c>
      <c r="I322" s="117"/>
    </row>
    <row r="323" spans="1:15" ht="165">
      <c r="A323" s="72">
        <v>1016</v>
      </c>
      <c r="B323" s="73">
        <v>32003</v>
      </c>
      <c r="C323" s="74" t="s">
        <v>988</v>
      </c>
      <c r="D323" s="272"/>
      <c r="E323" s="272"/>
      <c r="F323" s="271">
        <v>3600000</v>
      </c>
      <c r="G323" s="272"/>
      <c r="H323" s="272"/>
      <c r="I323" s="273" t="s">
        <v>993</v>
      </c>
    </row>
    <row r="324" spans="1:15">
      <c r="A324" s="157" t="s">
        <v>17</v>
      </c>
      <c r="B324" s="707" t="s">
        <v>30</v>
      </c>
      <c r="C324" s="708"/>
      <c r="D324" s="176">
        <f>D325+D628</f>
        <v>218948456.08071998</v>
      </c>
      <c r="E324" s="176">
        <f>E325+E628</f>
        <v>346476012</v>
      </c>
      <c r="F324" s="176">
        <f>F325+F628</f>
        <v>448045763.41672254</v>
      </c>
      <c r="G324" s="176">
        <f>G325+G628</f>
        <v>492670865.93788195</v>
      </c>
      <c r="H324" s="176">
        <f>H325+H628</f>
        <v>536743563.35288191</v>
      </c>
      <c r="I324" s="112"/>
      <c r="K324" s="177">
        <v>218948456.08071998</v>
      </c>
      <c r="L324" s="177">
        <v>346476012</v>
      </c>
      <c r="M324" s="177">
        <v>448045763.41672254</v>
      </c>
      <c r="N324" s="177">
        <v>492670865.93788195</v>
      </c>
      <c r="O324" s="177">
        <v>536743563.35288191</v>
      </c>
    </row>
    <row r="325" spans="1:15" s="1" customFormat="1">
      <c r="A325" s="299" t="s">
        <v>8</v>
      </c>
      <c r="B325" s="89"/>
      <c r="C325" s="232"/>
      <c r="D325" s="177">
        <f>D326+D371+D398+D404+D422+D438+D445+D453+D459+D496+D509+D524+D541+D557+D559+D561+D574+D579+D583+D592+D609+D613</f>
        <v>200363151.79679999</v>
      </c>
      <c r="E325" s="177">
        <f>E326+E371+E398+E404+E422+E438+E445+E453+E459+E496+E509+E524+E541+E557+E559+E561+E574+E579+E583+E592+E609+E613</f>
        <v>217634481.69999999</v>
      </c>
      <c r="F325" s="177">
        <f>F326+F371+F398+F404+F422+F438+F445+F453+F459+F496+F509+F524+F541+F557+F559+F561+F574+F579+F583+F592+F609+F613</f>
        <v>289013736.03672254</v>
      </c>
      <c r="G325" s="177">
        <f>G326+G371+G398+G404+G422+G438+G445+G453+G459+G496+G509+G524+G541+G557+G559+G561+G574+G579+G583+G592+G609+G613</f>
        <v>310774665.13788193</v>
      </c>
      <c r="H325" s="177">
        <f>H326+H371+H398+H404+H422+H438+H445+H453+H459+H496+H509+H524+H541+H557+H559+H561+H574+H579+H583+H592+H609+H613</f>
        <v>339382588.91688192</v>
      </c>
      <c r="I325" s="113"/>
    </row>
    <row r="326" spans="1:15">
      <c r="A326" s="71">
        <v>1041</v>
      </c>
      <c r="B326" s="709" t="s">
        <v>378</v>
      </c>
      <c r="C326" s="709"/>
      <c r="D326" s="180">
        <f>SUM(D327:D370)</f>
        <v>8199237.1799999978</v>
      </c>
      <c r="E326" s="180">
        <f>SUM(E327:E370)</f>
        <v>3684034.4</v>
      </c>
      <c r="F326" s="180">
        <f>SUM(F327:F370)</f>
        <v>9120521.4000000004</v>
      </c>
      <c r="G326" s="180">
        <f>SUM(G327:G370)</f>
        <v>10529407.5</v>
      </c>
      <c r="H326" s="180">
        <f>SUM(H327:H370)</f>
        <v>22685601.300000001</v>
      </c>
      <c r="I326" s="117"/>
    </row>
    <row r="327" spans="1:15" ht="99">
      <c r="A327" s="10">
        <v>1041</v>
      </c>
      <c r="B327" s="2">
        <v>11001</v>
      </c>
      <c r="C327" s="40" t="s">
        <v>379</v>
      </c>
      <c r="D327" s="172">
        <v>1828535</v>
      </c>
      <c r="E327" s="172">
        <v>1367960.9</v>
      </c>
      <c r="F327" s="172">
        <v>1573155</v>
      </c>
      <c r="G327" s="172">
        <v>1573155</v>
      </c>
      <c r="H327" s="191">
        <v>1573155</v>
      </c>
      <c r="I327" s="119"/>
    </row>
    <row r="328" spans="1:15" ht="49.5">
      <c r="A328" s="10">
        <v>1041</v>
      </c>
      <c r="B328" s="2" t="s">
        <v>109</v>
      </c>
      <c r="C328" s="40" t="s">
        <v>380</v>
      </c>
      <c r="D328" s="172">
        <v>81800</v>
      </c>
      <c r="E328" s="172">
        <v>81840</v>
      </c>
      <c r="F328" s="172">
        <v>116350</v>
      </c>
      <c r="G328" s="172">
        <v>116350</v>
      </c>
      <c r="H328" s="191">
        <v>116350</v>
      </c>
      <c r="I328" s="119"/>
    </row>
    <row r="329" spans="1:15" ht="66">
      <c r="A329" s="10">
        <v>1041</v>
      </c>
      <c r="B329" s="2" t="s">
        <v>235</v>
      </c>
      <c r="C329" s="40" t="s">
        <v>381</v>
      </c>
      <c r="D329" s="172">
        <v>98125.62</v>
      </c>
      <c r="E329" s="172">
        <v>50087.3</v>
      </c>
      <c r="F329" s="172">
        <v>75000</v>
      </c>
      <c r="G329" s="172">
        <v>75000</v>
      </c>
      <c r="H329" s="191">
        <v>100000</v>
      </c>
      <c r="I329" s="25" t="s">
        <v>382</v>
      </c>
    </row>
    <row r="330" spans="1:15" ht="33">
      <c r="A330" s="10">
        <v>1041</v>
      </c>
      <c r="B330" s="2" t="s">
        <v>333</v>
      </c>
      <c r="C330" s="40" t="s">
        <v>383</v>
      </c>
      <c r="D330" s="172">
        <v>3000</v>
      </c>
      <c r="E330" s="172">
        <v>8133.4</v>
      </c>
      <c r="F330" s="172">
        <v>8133.4</v>
      </c>
      <c r="G330" s="172">
        <v>8133.4</v>
      </c>
      <c r="H330" s="191">
        <v>8133.4</v>
      </c>
      <c r="I330" s="119"/>
    </row>
    <row r="331" spans="1:15">
      <c r="A331" s="10">
        <v>1041</v>
      </c>
      <c r="B331" s="2" t="s">
        <v>117</v>
      </c>
      <c r="C331" s="40" t="s">
        <v>384</v>
      </c>
      <c r="D331" s="172">
        <v>5019.1000000000004</v>
      </c>
      <c r="E331" s="172">
        <v>0</v>
      </c>
      <c r="F331" s="172">
        <v>0</v>
      </c>
      <c r="G331" s="172">
        <v>0</v>
      </c>
      <c r="H331" s="191">
        <v>0</v>
      </c>
      <c r="I331" s="119"/>
    </row>
    <row r="332" spans="1:15" ht="33">
      <c r="A332" s="10">
        <v>1041</v>
      </c>
      <c r="B332" s="2" t="s">
        <v>119</v>
      </c>
      <c r="C332" s="40" t="s">
        <v>385</v>
      </c>
      <c r="D332" s="172">
        <v>159049.80000000002</v>
      </c>
      <c r="E332" s="172">
        <v>159049.79999999999</v>
      </c>
      <c r="F332" s="172">
        <v>164960.20000000001</v>
      </c>
      <c r="G332" s="172">
        <v>164960.20000000001</v>
      </c>
      <c r="H332" s="191">
        <v>164960.20000000001</v>
      </c>
      <c r="I332" s="119"/>
    </row>
    <row r="333" spans="1:15" ht="66">
      <c r="A333" s="10">
        <v>1041</v>
      </c>
      <c r="B333" s="2">
        <v>11009</v>
      </c>
      <c r="C333" s="40" t="s">
        <v>386</v>
      </c>
      <c r="D333" s="172">
        <v>0</v>
      </c>
      <c r="E333" s="172">
        <v>12715.8</v>
      </c>
      <c r="F333" s="172">
        <v>0</v>
      </c>
      <c r="G333" s="172">
        <v>0</v>
      </c>
      <c r="H333" s="191">
        <v>0</v>
      </c>
      <c r="I333" s="119"/>
    </row>
    <row r="334" spans="1:15" ht="66">
      <c r="A334" s="10">
        <v>1041</v>
      </c>
      <c r="B334" s="2">
        <v>11010</v>
      </c>
      <c r="C334" s="40" t="s">
        <v>387</v>
      </c>
      <c r="D334" s="172">
        <v>0</v>
      </c>
      <c r="E334" s="172">
        <v>100726.8</v>
      </c>
      <c r="F334" s="172">
        <v>0</v>
      </c>
      <c r="G334" s="172">
        <v>0</v>
      </c>
      <c r="H334" s="191">
        <v>0</v>
      </c>
      <c r="I334" s="119"/>
    </row>
    <row r="335" spans="1:15" ht="66">
      <c r="A335" s="10">
        <v>1041</v>
      </c>
      <c r="B335" s="2">
        <v>11011</v>
      </c>
      <c r="C335" s="40" t="s">
        <v>388</v>
      </c>
      <c r="D335" s="172">
        <v>107568.90000000001</v>
      </c>
      <c r="E335" s="172">
        <v>0</v>
      </c>
      <c r="F335" s="172">
        <v>0</v>
      </c>
      <c r="G335" s="172">
        <v>0</v>
      </c>
      <c r="H335" s="191">
        <v>112965.4</v>
      </c>
      <c r="I335" s="119"/>
    </row>
    <row r="336" spans="1:15" ht="66">
      <c r="A336" s="10">
        <v>1041</v>
      </c>
      <c r="B336" s="2">
        <v>11012</v>
      </c>
      <c r="C336" s="40" t="s">
        <v>389</v>
      </c>
      <c r="D336" s="172">
        <v>75876.820000000007</v>
      </c>
      <c r="E336" s="172">
        <v>0</v>
      </c>
      <c r="F336" s="172">
        <v>77838.399999999994</v>
      </c>
      <c r="G336" s="172">
        <v>0</v>
      </c>
      <c r="H336" s="191">
        <v>85560.5</v>
      </c>
      <c r="I336" s="119"/>
    </row>
    <row r="337" spans="1:9" ht="66">
      <c r="A337" s="10">
        <v>1041</v>
      </c>
      <c r="B337" s="2">
        <v>11019</v>
      </c>
      <c r="C337" s="40" t="s">
        <v>390</v>
      </c>
      <c r="D337" s="172">
        <v>0</v>
      </c>
      <c r="E337" s="172">
        <v>0</v>
      </c>
      <c r="F337" s="172">
        <v>0</v>
      </c>
      <c r="G337" s="172">
        <v>41072.9</v>
      </c>
      <c r="H337" s="191">
        <v>0</v>
      </c>
      <c r="I337" s="119"/>
    </row>
    <row r="338" spans="1:9" ht="66">
      <c r="A338" s="10">
        <v>1041</v>
      </c>
      <c r="B338" s="2">
        <v>11020</v>
      </c>
      <c r="C338" s="40" t="s">
        <v>391</v>
      </c>
      <c r="D338" s="172">
        <v>0</v>
      </c>
      <c r="E338" s="172">
        <v>0</v>
      </c>
      <c r="F338" s="172">
        <v>0</v>
      </c>
      <c r="G338" s="172">
        <v>40081</v>
      </c>
      <c r="H338" s="191">
        <v>0</v>
      </c>
      <c r="I338" s="119"/>
    </row>
    <row r="339" spans="1:9" ht="165">
      <c r="A339" s="10">
        <v>1041</v>
      </c>
      <c r="B339" s="2">
        <v>11021</v>
      </c>
      <c r="C339" s="40" t="s">
        <v>392</v>
      </c>
      <c r="D339" s="172">
        <v>77663.42</v>
      </c>
      <c r="E339" s="172">
        <v>0</v>
      </c>
      <c r="F339" s="172">
        <v>0</v>
      </c>
      <c r="G339" s="172">
        <v>0</v>
      </c>
      <c r="H339" s="191">
        <v>0</v>
      </c>
      <c r="I339" s="119"/>
    </row>
    <row r="340" spans="1:9" ht="66">
      <c r="A340" s="10">
        <v>1041</v>
      </c>
      <c r="B340" s="2">
        <v>11022</v>
      </c>
      <c r="C340" s="40" t="s">
        <v>393</v>
      </c>
      <c r="D340" s="172">
        <v>30980.84</v>
      </c>
      <c r="E340" s="172">
        <v>0</v>
      </c>
      <c r="F340" s="172">
        <v>0</v>
      </c>
      <c r="G340" s="172">
        <v>0</v>
      </c>
      <c r="H340" s="191">
        <v>9613095.1999999993</v>
      </c>
      <c r="I340" s="119"/>
    </row>
    <row r="341" spans="1:9" ht="49.5">
      <c r="A341" s="10">
        <v>1041</v>
      </c>
      <c r="B341" s="2">
        <v>11026</v>
      </c>
      <c r="C341" s="40" t="s">
        <v>394</v>
      </c>
      <c r="D341" s="172">
        <v>88426.400000000009</v>
      </c>
      <c r="E341" s="172">
        <v>88426.4</v>
      </c>
      <c r="F341" s="172">
        <v>93666.4</v>
      </c>
      <c r="G341" s="172">
        <v>93666.4</v>
      </c>
      <c r="H341" s="191">
        <v>93666.4</v>
      </c>
      <c r="I341" s="119"/>
    </row>
    <row r="342" spans="1:9" ht="99">
      <c r="A342" s="10">
        <v>1041</v>
      </c>
      <c r="B342" s="2">
        <v>11030</v>
      </c>
      <c r="C342" s="40" t="s">
        <v>395</v>
      </c>
      <c r="D342" s="172">
        <v>36355.93</v>
      </c>
      <c r="E342" s="172">
        <v>40000</v>
      </c>
      <c r="F342" s="172">
        <v>40000</v>
      </c>
      <c r="G342" s="172">
        <v>40000</v>
      </c>
      <c r="H342" s="191">
        <v>40000</v>
      </c>
      <c r="I342" s="119"/>
    </row>
    <row r="343" spans="1:9" ht="33">
      <c r="A343" s="10">
        <v>1041</v>
      </c>
      <c r="B343" s="2">
        <v>11031</v>
      </c>
      <c r="C343" s="40" t="s">
        <v>396</v>
      </c>
      <c r="D343" s="172">
        <v>4000</v>
      </c>
      <c r="E343" s="172">
        <v>4000</v>
      </c>
      <c r="F343" s="172">
        <v>4000</v>
      </c>
      <c r="G343" s="172">
        <v>4000</v>
      </c>
      <c r="H343" s="191">
        <v>4000</v>
      </c>
      <c r="I343" s="119"/>
    </row>
    <row r="344" spans="1:9" ht="49.5">
      <c r="A344" s="10">
        <v>1041</v>
      </c>
      <c r="B344" s="2">
        <v>11035</v>
      </c>
      <c r="C344" s="40" t="s">
        <v>397</v>
      </c>
      <c r="D344" s="172">
        <v>24743.5</v>
      </c>
      <c r="E344" s="172">
        <v>0</v>
      </c>
      <c r="F344" s="172">
        <v>0</v>
      </c>
      <c r="G344" s="172">
        <v>0</v>
      </c>
      <c r="H344" s="191">
        <v>0</v>
      </c>
      <c r="I344" s="119"/>
    </row>
    <row r="345" spans="1:9" ht="66">
      <c r="A345" s="10">
        <v>1041</v>
      </c>
      <c r="B345" s="2">
        <v>11036</v>
      </c>
      <c r="C345" s="40" t="s">
        <v>398</v>
      </c>
      <c r="D345" s="172">
        <v>41556.300000000003</v>
      </c>
      <c r="E345" s="172">
        <v>0</v>
      </c>
      <c r="F345" s="172">
        <v>47998.400000000001</v>
      </c>
      <c r="G345" s="172">
        <v>0</v>
      </c>
      <c r="H345" s="191">
        <v>50980</v>
      </c>
      <c r="I345" s="119"/>
    </row>
    <row r="346" spans="1:9" ht="49.5">
      <c r="A346" s="10">
        <v>1041</v>
      </c>
      <c r="B346" s="2">
        <v>11037</v>
      </c>
      <c r="C346" s="40" t="s">
        <v>399</v>
      </c>
      <c r="D346" s="172">
        <v>1215671.67</v>
      </c>
      <c r="E346" s="172">
        <v>0</v>
      </c>
      <c r="F346" s="172">
        <v>0</v>
      </c>
      <c r="G346" s="172">
        <v>0</v>
      </c>
      <c r="H346" s="191">
        <v>2521076.7999999998</v>
      </c>
      <c r="I346" s="119"/>
    </row>
    <row r="347" spans="1:9" ht="99">
      <c r="A347" s="10">
        <v>1041</v>
      </c>
      <c r="B347" s="2">
        <v>11041</v>
      </c>
      <c r="C347" s="40" t="s">
        <v>400</v>
      </c>
      <c r="D347" s="172">
        <v>1050082.2</v>
      </c>
      <c r="E347" s="172">
        <v>0</v>
      </c>
      <c r="F347" s="172">
        <v>0</v>
      </c>
      <c r="G347" s="172">
        <v>0</v>
      </c>
      <c r="H347" s="191">
        <v>0</v>
      </c>
      <c r="I347" s="119"/>
    </row>
    <row r="348" spans="1:9" ht="49.5">
      <c r="A348" s="10">
        <v>1041</v>
      </c>
      <c r="B348" s="2">
        <v>11042</v>
      </c>
      <c r="C348" s="40" t="s">
        <v>401</v>
      </c>
      <c r="D348" s="172">
        <v>733459.6</v>
      </c>
      <c r="E348" s="172">
        <v>0</v>
      </c>
      <c r="F348" s="172">
        <v>0</v>
      </c>
      <c r="G348" s="172">
        <v>0</v>
      </c>
      <c r="H348" s="191">
        <v>0</v>
      </c>
      <c r="I348" s="119"/>
    </row>
    <row r="349" spans="1:9" ht="82.5">
      <c r="A349" s="10">
        <v>1041</v>
      </c>
      <c r="B349" s="2">
        <v>11043</v>
      </c>
      <c r="C349" s="40" t="s">
        <v>402</v>
      </c>
      <c r="D349" s="172">
        <v>0</v>
      </c>
      <c r="E349" s="172">
        <v>25000</v>
      </c>
      <c r="F349" s="172">
        <v>50000</v>
      </c>
      <c r="G349" s="172">
        <v>50000</v>
      </c>
      <c r="H349" s="191">
        <v>50000</v>
      </c>
      <c r="I349" s="119"/>
    </row>
    <row r="350" spans="1:9" ht="66">
      <c r="A350" s="10">
        <v>1041</v>
      </c>
      <c r="B350" s="2">
        <v>11044</v>
      </c>
      <c r="C350" s="40" t="s">
        <v>403</v>
      </c>
      <c r="D350" s="172">
        <v>338263.8</v>
      </c>
      <c r="E350" s="172">
        <v>0</v>
      </c>
      <c r="F350" s="172">
        <v>0</v>
      </c>
      <c r="G350" s="172">
        <v>0</v>
      </c>
      <c r="H350" s="191">
        <v>0</v>
      </c>
      <c r="I350" s="119"/>
    </row>
    <row r="351" spans="1:9" ht="66">
      <c r="A351" s="10">
        <v>1041</v>
      </c>
      <c r="B351" s="2" t="s">
        <v>404</v>
      </c>
      <c r="C351" s="40" t="s">
        <v>405</v>
      </c>
      <c r="D351" s="172">
        <v>649710</v>
      </c>
      <c r="E351" s="172">
        <v>461000</v>
      </c>
      <c r="F351" s="172">
        <v>461000</v>
      </c>
      <c r="G351" s="172">
        <v>461000</v>
      </c>
      <c r="H351" s="191">
        <v>461000</v>
      </c>
      <c r="I351" s="119"/>
    </row>
    <row r="352" spans="1:9" ht="99">
      <c r="A352" s="10">
        <v>1041</v>
      </c>
      <c r="B352" s="2" t="s">
        <v>406</v>
      </c>
      <c r="C352" s="40" t="s">
        <v>407</v>
      </c>
      <c r="D352" s="172">
        <v>181417.2</v>
      </c>
      <c r="E352" s="172">
        <v>187677.6</v>
      </c>
      <c r="F352" s="172">
        <v>187677.6</v>
      </c>
      <c r="G352" s="172">
        <v>187677.6</v>
      </c>
      <c r="H352" s="191">
        <v>187677.6</v>
      </c>
      <c r="I352" s="119"/>
    </row>
    <row r="353" spans="1:9" ht="99">
      <c r="A353" s="10">
        <v>1041</v>
      </c>
      <c r="B353" s="2" t="s">
        <v>408</v>
      </c>
      <c r="C353" s="40" t="s">
        <v>409</v>
      </c>
      <c r="D353" s="172">
        <v>736772.23</v>
      </c>
      <c r="E353" s="172">
        <v>735918.8</v>
      </c>
      <c r="F353" s="172">
        <v>927000</v>
      </c>
      <c r="G353" s="172">
        <v>927000</v>
      </c>
      <c r="H353" s="191">
        <v>927000</v>
      </c>
      <c r="I353" s="119"/>
    </row>
    <row r="354" spans="1:9" ht="66">
      <c r="A354" s="10">
        <v>1041</v>
      </c>
      <c r="B354" s="2" t="s">
        <v>410</v>
      </c>
      <c r="C354" s="40" t="s">
        <v>411</v>
      </c>
      <c r="D354" s="172">
        <v>63690</v>
      </c>
      <c r="E354" s="172">
        <v>64435.1</v>
      </c>
      <c r="F354" s="172">
        <v>100000</v>
      </c>
      <c r="G354" s="172">
        <v>100000</v>
      </c>
      <c r="H354" s="191">
        <v>100000</v>
      </c>
      <c r="I354" s="119"/>
    </row>
    <row r="355" spans="1:9" ht="82.5">
      <c r="A355" s="10">
        <v>1041</v>
      </c>
      <c r="B355" s="2">
        <v>12007</v>
      </c>
      <c r="C355" s="40" t="s">
        <v>412</v>
      </c>
      <c r="D355" s="172">
        <v>567468.85</v>
      </c>
      <c r="E355" s="172">
        <v>297062.5</v>
      </c>
      <c r="F355" s="172">
        <v>688125</v>
      </c>
      <c r="G355" s="172">
        <v>688125</v>
      </c>
      <c r="H355" s="192">
        <v>688125</v>
      </c>
      <c r="I355" s="119"/>
    </row>
    <row r="356" spans="1:9" ht="49.5">
      <c r="A356" s="10">
        <v>1041</v>
      </c>
      <c r="B356" s="2" t="s">
        <v>413</v>
      </c>
      <c r="C356" s="40" t="s">
        <v>414</v>
      </c>
      <c r="D356" s="172">
        <v>0</v>
      </c>
      <c r="E356" s="172">
        <v>0</v>
      </c>
      <c r="F356" s="172">
        <v>127024</v>
      </c>
      <c r="G356" s="172">
        <v>0</v>
      </c>
      <c r="H356" s="191">
        <v>0</v>
      </c>
      <c r="I356" s="119"/>
    </row>
    <row r="357" spans="1:9" ht="33">
      <c r="A357" s="10">
        <v>1041</v>
      </c>
      <c r="B357" s="2" t="s">
        <v>413</v>
      </c>
      <c r="C357" s="40" t="s">
        <v>415</v>
      </c>
      <c r="D357" s="172">
        <v>0</v>
      </c>
      <c r="E357" s="172">
        <v>0</v>
      </c>
      <c r="F357" s="172">
        <v>4000</v>
      </c>
      <c r="G357" s="172">
        <v>0</v>
      </c>
      <c r="H357" s="191">
        <v>0</v>
      </c>
      <c r="I357" s="119"/>
    </row>
    <row r="358" spans="1:9" ht="49.5">
      <c r="A358" s="10">
        <v>1041</v>
      </c>
      <c r="B358" s="2" t="s">
        <v>413</v>
      </c>
      <c r="C358" s="40" t="s">
        <v>416</v>
      </c>
      <c r="D358" s="172">
        <v>0</v>
      </c>
      <c r="E358" s="172">
        <v>0</v>
      </c>
      <c r="F358" s="172">
        <v>0</v>
      </c>
      <c r="G358" s="172">
        <v>0</v>
      </c>
      <c r="H358" s="191">
        <v>2521076.7999999998</v>
      </c>
      <c r="I358" s="119"/>
    </row>
    <row r="359" spans="1:9" ht="82.5">
      <c r="A359" s="10">
        <v>1041</v>
      </c>
      <c r="B359" s="2" t="s">
        <v>413</v>
      </c>
      <c r="C359" s="40" t="s">
        <v>417</v>
      </c>
      <c r="D359" s="172">
        <v>0</v>
      </c>
      <c r="E359" s="172">
        <v>0</v>
      </c>
      <c r="F359" s="172">
        <v>3000000</v>
      </c>
      <c r="G359" s="172">
        <v>3000000</v>
      </c>
      <c r="H359" s="191">
        <v>3000000</v>
      </c>
      <c r="I359" s="119"/>
    </row>
    <row r="360" spans="1:9">
      <c r="A360" s="10">
        <v>1041</v>
      </c>
      <c r="B360" s="2" t="s">
        <v>413</v>
      </c>
      <c r="C360" s="40" t="s">
        <v>418</v>
      </c>
      <c r="D360" s="172">
        <v>0</v>
      </c>
      <c r="E360" s="172">
        <v>0</v>
      </c>
      <c r="F360" s="172">
        <v>0</v>
      </c>
      <c r="G360" s="172">
        <v>0</v>
      </c>
      <c r="H360" s="191">
        <v>38000</v>
      </c>
      <c r="I360" s="119"/>
    </row>
    <row r="361" spans="1:9" ht="115.5">
      <c r="A361" s="10">
        <v>1041</v>
      </c>
      <c r="B361" s="2" t="s">
        <v>413</v>
      </c>
      <c r="C361" s="40" t="s">
        <v>419</v>
      </c>
      <c r="D361" s="172">
        <v>0</v>
      </c>
      <c r="E361" s="172">
        <v>0</v>
      </c>
      <c r="F361" s="172">
        <v>0</v>
      </c>
      <c r="G361" s="172">
        <v>50000</v>
      </c>
      <c r="H361" s="191">
        <v>65000</v>
      </c>
      <c r="I361" s="119"/>
    </row>
    <row r="362" spans="1:9" ht="49.5">
      <c r="A362" s="10">
        <v>1041</v>
      </c>
      <c r="B362" s="2" t="s">
        <v>413</v>
      </c>
      <c r="C362" s="233" t="s">
        <v>420</v>
      </c>
      <c r="D362" s="172">
        <v>0</v>
      </c>
      <c r="E362" s="172">
        <v>0</v>
      </c>
      <c r="F362" s="172">
        <v>16674</v>
      </c>
      <c r="G362" s="172">
        <v>33348</v>
      </c>
      <c r="H362" s="191">
        <v>50022</v>
      </c>
      <c r="I362" s="119"/>
    </row>
    <row r="363" spans="1:9" ht="99">
      <c r="A363" s="10">
        <v>1041</v>
      </c>
      <c r="B363" s="2" t="s">
        <v>413</v>
      </c>
      <c r="C363" s="40" t="s">
        <v>421</v>
      </c>
      <c r="D363" s="172">
        <v>0</v>
      </c>
      <c r="E363" s="172">
        <v>0</v>
      </c>
      <c r="F363" s="172">
        <v>33348</v>
      </c>
      <c r="G363" s="172">
        <v>66696</v>
      </c>
      <c r="H363" s="191">
        <v>100044</v>
      </c>
      <c r="I363" s="119"/>
    </row>
    <row r="364" spans="1:9" ht="66">
      <c r="A364" s="10">
        <v>1041</v>
      </c>
      <c r="B364" s="2" t="s">
        <v>413</v>
      </c>
      <c r="C364" s="40" t="s">
        <v>422</v>
      </c>
      <c r="D364" s="172">
        <v>0</v>
      </c>
      <c r="E364" s="172">
        <v>0</v>
      </c>
      <c r="F364" s="172">
        <v>4571</v>
      </c>
      <c r="G364" s="172">
        <v>9142</v>
      </c>
      <c r="H364" s="191">
        <v>13713</v>
      </c>
      <c r="I364" s="119"/>
    </row>
    <row r="365" spans="1:9" ht="49.5">
      <c r="A365" s="10">
        <v>1041</v>
      </c>
      <c r="B365" s="2" t="s">
        <v>413</v>
      </c>
      <c r="C365" s="40" t="s">
        <v>423</v>
      </c>
      <c r="D365" s="172">
        <v>0</v>
      </c>
      <c r="E365" s="172">
        <v>0</v>
      </c>
      <c r="F365" s="172">
        <v>320000</v>
      </c>
      <c r="G365" s="172">
        <v>0</v>
      </c>
      <c r="H365" s="191">
        <v>0</v>
      </c>
      <c r="I365" s="119"/>
    </row>
    <row r="366" spans="1:9" ht="49.5">
      <c r="A366" s="10">
        <v>1041</v>
      </c>
      <c r="B366" s="2" t="s">
        <v>413</v>
      </c>
      <c r="C366" s="40" t="s">
        <v>424</v>
      </c>
      <c r="D366" s="172">
        <v>0</v>
      </c>
      <c r="E366" s="172">
        <v>0</v>
      </c>
      <c r="F366" s="172">
        <v>0</v>
      </c>
      <c r="G366" s="172">
        <v>400000</v>
      </c>
      <c r="H366" s="191">
        <v>0</v>
      </c>
      <c r="I366" s="119"/>
    </row>
    <row r="367" spans="1:9" ht="33">
      <c r="A367" s="10">
        <v>1041</v>
      </c>
      <c r="B367" s="2" t="s">
        <v>413</v>
      </c>
      <c r="C367" s="40" t="s">
        <v>425</v>
      </c>
      <c r="D367" s="172">
        <v>0</v>
      </c>
      <c r="E367" s="172">
        <v>0</v>
      </c>
      <c r="F367" s="172">
        <v>0</v>
      </c>
      <c r="G367" s="172">
        <v>400000</v>
      </c>
      <c r="H367" s="191">
        <v>0</v>
      </c>
      <c r="I367" s="119"/>
    </row>
    <row r="368" spans="1:9" ht="33">
      <c r="A368" s="10">
        <v>1041</v>
      </c>
      <c r="B368" s="2" t="s">
        <v>413</v>
      </c>
      <c r="C368" s="40" t="s">
        <v>426</v>
      </c>
      <c r="D368" s="172">
        <v>0</v>
      </c>
      <c r="E368" s="172">
        <v>0</v>
      </c>
      <c r="F368" s="172">
        <v>1000000</v>
      </c>
      <c r="G368" s="172">
        <v>0</v>
      </c>
      <c r="H368" s="191">
        <v>0</v>
      </c>
      <c r="I368" s="119"/>
    </row>
    <row r="369" spans="1:9" ht="66">
      <c r="A369" s="10">
        <v>1041</v>
      </c>
      <c r="B369" s="2" t="s">
        <v>413</v>
      </c>
      <c r="C369" s="40" t="s">
        <v>427</v>
      </c>
      <c r="D369" s="172">
        <v>0</v>
      </c>
      <c r="E369" s="172">
        <v>0</v>
      </c>
      <c r="F369" s="172">
        <v>0</v>
      </c>
      <c r="G369" s="172">
        <v>1000000</v>
      </c>
      <c r="H369" s="191">
        <v>0</v>
      </c>
      <c r="I369" s="119"/>
    </row>
    <row r="370" spans="1:9" ht="49.5">
      <c r="A370" s="10">
        <v>1041</v>
      </c>
      <c r="B370" s="2" t="s">
        <v>413</v>
      </c>
      <c r="C370" s="40" t="s">
        <v>428</v>
      </c>
      <c r="D370" s="172">
        <v>0</v>
      </c>
      <c r="E370" s="172">
        <v>0</v>
      </c>
      <c r="F370" s="172">
        <v>0</v>
      </c>
      <c r="G370" s="172">
        <v>1000000</v>
      </c>
      <c r="H370" s="191">
        <v>0</v>
      </c>
      <c r="I370" s="119"/>
    </row>
    <row r="371" spans="1:9">
      <c r="A371" s="78">
        <v>1045</v>
      </c>
      <c r="B371" s="691" t="s">
        <v>429</v>
      </c>
      <c r="C371" s="692"/>
      <c r="D371" s="180">
        <f>SUM(D372:D397)</f>
        <v>10216269.75</v>
      </c>
      <c r="E371" s="180">
        <f>SUM(E372:E397)</f>
        <v>13177095.9</v>
      </c>
      <c r="F371" s="180">
        <f>SUM(F372:F397)</f>
        <v>21926886.5</v>
      </c>
      <c r="G371" s="180">
        <f>SUM(G372:G397)</f>
        <v>27876297.899999999</v>
      </c>
      <c r="H371" s="180">
        <f>SUM(H372:H397)</f>
        <v>33539812.399999999</v>
      </c>
      <c r="I371" s="117"/>
    </row>
    <row r="372" spans="1:9" ht="33">
      <c r="A372" s="10">
        <v>1045</v>
      </c>
      <c r="B372" s="2" t="s">
        <v>233</v>
      </c>
      <c r="C372" s="40" t="s">
        <v>430</v>
      </c>
      <c r="D372" s="172">
        <v>48598.700000000004</v>
      </c>
      <c r="E372" s="172">
        <v>66859</v>
      </c>
      <c r="F372" s="172">
        <v>130000</v>
      </c>
      <c r="G372" s="172">
        <v>133000</v>
      </c>
      <c r="H372" s="191">
        <v>171900</v>
      </c>
      <c r="I372" s="25"/>
    </row>
    <row r="373" spans="1:9" ht="66">
      <c r="A373" s="10">
        <v>1045</v>
      </c>
      <c r="B373" s="2">
        <v>11004</v>
      </c>
      <c r="C373" s="40" t="s">
        <v>431</v>
      </c>
      <c r="D373" s="172">
        <v>10009.6</v>
      </c>
      <c r="E373" s="172">
        <v>0</v>
      </c>
      <c r="F373" s="172">
        <v>0</v>
      </c>
      <c r="G373" s="172">
        <v>0</v>
      </c>
      <c r="H373" s="191">
        <v>0</v>
      </c>
      <c r="I373" s="119"/>
    </row>
    <row r="374" spans="1:9">
      <c r="A374" s="10">
        <v>1045</v>
      </c>
      <c r="B374" s="2">
        <v>11005</v>
      </c>
      <c r="C374" s="40" t="s">
        <v>432</v>
      </c>
      <c r="D374" s="172">
        <v>10000</v>
      </c>
      <c r="E374" s="172">
        <v>0</v>
      </c>
      <c r="F374" s="172">
        <v>0</v>
      </c>
      <c r="G374" s="172">
        <v>0</v>
      </c>
      <c r="H374" s="191">
        <v>0</v>
      </c>
      <c r="I374" s="119"/>
    </row>
    <row r="375" spans="1:9" ht="49.5">
      <c r="A375" s="10">
        <v>1045</v>
      </c>
      <c r="B375" s="2">
        <v>12001</v>
      </c>
      <c r="C375" s="40" t="s">
        <v>433</v>
      </c>
      <c r="D375" s="172">
        <v>278770.3</v>
      </c>
      <c r="E375" s="172">
        <v>866926.8</v>
      </c>
      <c r="F375" s="172">
        <v>1644291.3</v>
      </c>
      <c r="G375" s="172">
        <v>1698975.3</v>
      </c>
      <c r="H375" s="191">
        <v>1698975.3</v>
      </c>
      <c r="I375" s="119"/>
    </row>
    <row r="376" spans="1:9" ht="33">
      <c r="A376" s="10">
        <v>1045</v>
      </c>
      <c r="B376" s="2">
        <v>12002</v>
      </c>
      <c r="C376" s="40" t="s">
        <v>434</v>
      </c>
      <c r="D376" s="172">
        <v>554477.79999999993</v>
      </c>
      <c r="E376" s="172">
        <v>967683</v>
      </c>
      <c r="F376" s="172">
        <v>2562031</v>
      </c>
      <c r="G376" s="172">
        <v>2633851.7999999998</v>
      </c>
      <c r="H376" s="191">
        <v>2633851.7999999998</v>
      </c>
      <c r="I376" s="119"/>
    </row>
    <row r="377" spans="1:9" ht="66">
      <c r="A377" s="10">
        <v>1045</v>
      </c>
      <c r="B377" s="2">
        <v>12003</v>
      </c>
      <c r="C377" s="40" t="s">
        <v>435</v>
      </c>
      <c r="D377" s="172">
        <v>2409043.7599999998</v>
      </c>
      <c r="E377" s="172">
        <v>2764737.3</v>
      </c>
      <c r="F377" s="172">
        <v>3375848</v>
      </c>
      <c r="G377" s="172">
        <v>3704281.4</v>
      </c>
      <c r="H377" s="191">
        <v>3704281.4</v>
      </c>
      <c r="I377" s="119"/>
    </row>
    <row r="378" spans="1:9" ht="49.5">
      <c r="A378" s="10">
        <v>1045</v>
      </c>
      <c r="B378" s="2">
        <v>12004</v>
      </c>
      <c r="C378" s="40" t="s">
        <v>436</v>
      </c>
      <c r="D378" s="172">
        <v>6769618.4199999999</v>
      </c>
      <c r="E378" s="172">
        <v>7529999.2000000002</v>
      </c>
      <c r="F378" s="172">
        <v>8451933.6999999993</v>
      </c>
      <c r="G378" s="172">
        <v>8860948.8000000007</v>
      </c>
      <c r="H378" s="191">
        <v>8860948.8000000007</v>
      </c>
      <c r="I378" s="119"/>
    </row>
    <row r="379" spans="1:9" ht="115.5">
      <c r="A379" s="10">
        <v>1045</v>
      </c>
      <c r="B379" s="2">
        <v>12007</v>
      </c>
      <c r="C379" s="40" t="s">
        <v>437</v>
      </c>
      <c r="D379" s="172">
        <v>0</v>
      </c>
      <c r="E379" s="172">
        <v>62720</v>
      </c>
      <c r="F379" s="172">
        <v>563974.30000000005</v>
      </c>
      <c r="G379" s="172">
        <v>2483007</v>
      </c>
      <c r="H379" s="191">
        <v>4718680</v>
      </c>
      <c r="I379" s="119"/>
    </row>
    <row r="380" spans="1:9" ht="99">
      <c r="A380" s="10">
        <v>1045</v>
      </c>
      <c r="B380" s="2">
        <v>12009</v>
      </c>
      <c r="C380" s="40" t="s">
        <v>438</v>
      </c>
      <c r="D380" s="172">
        <v>0</v>
      </c>
      <c r="E380" s="172">
        <v>103894</v>
      </c>
      <c r="F380" s="172">
        <v>362045.3</v>
      </c>
      <c r="G380" s="172">
        <v>380147.8</v>
      </c>
      <c r="H380" s="191">
        <v>398250.3</v>
      </c>
      <c r="I380" s="119" t="s">
        <v>439</v>
      </c>
    </row>
    <row r="381" spans="1:9" ht="148.5">
      <c r="A381" s="10">
        <v>1045</v>
      </c>
      <c r="B381" s="2">
        <v>12010</v>
      </c>
      <c r="C381" s="40" t="s">
        <v>440</v>
      </c>
      <c r="D381" s="172">
        <v>15210.67</v>
      </c>
      <c r="E381" s="172">
        <v>352086.6</v>
      </c>
      <c r="F381" s="172">
        <v>563974.30000000005</v>
      </c>
      <c r="G381" s="172">
        <v>2483007</v>
      </c>
      <c r="H381" s="191">
        <v>4718680</v>
      </c>
      <c r="I381" s="25" t="s">
        <v>441</v>
      </c>
    </row>
    <row r="382" spans="1:9" ht="132">
      <c r="A382" s="10">
        <v>1045</v>
      </c>
      <c r="B382" s="2">
        <v>12012</v>
      </c>
      <c r="C382" s="40" t="s">
        <v>442</v>
      </c>
      <c r="D382" s="172">
        <v>4095.5</v>
      </c>
      <c r="E382" s="172">
        <v>59290</v>
      </c>
      <c r="F382" s="172">
        <v>59290</v>
      </c>
      <c r="G382" s="172">
        <v>59290</v>
      </c>
      <c r="H382" s="172">
        <v>59290</v>
      </c>
      <c r="I382" s="25"/>
    </row>
    <row r="383" spans="1:9" ht="115.5">
      <c r="A383" s="10">
        <v>1045</v>
      </c>
      <c r="B383" s="2">
        <v>12013</v>
      </c>
      <c r="C383" s="40" t="s">
        <v>443</v>
      </c>
      <c r="D383" s="172">
        <v>109586</v>
      </c>
      <c r="E383" s="172">
        <v>402900</v>
      </c>
      <c r="F383" s="172">
        <v>402900</v>
      </c>
      <c r="G383" s="172">
        <v>402900</v>
      </c>
      <c r="H383" s="172">
        <v>402900</v>
      </c>
      <c r="I383" s="119"/>
    </row>
    <row r="384" spans="1:9" ht="165">
      <c r="A384" s="10">
        <v>1045</v>
      </c>
      <c r="B384" s="2">
        <v>12014</v>
      </c>
      <c r="C384" s="40" t="s">
        <v>444</v>
      </c>
      <c r="D384" s="172">
        <v>6859</v>
      </c>
      <c r="E384" s="172">
        <v>0</v>
      </c>
      <c r="F384" s="172">
        <v>0</v>
      </c>
      <c r="G384" s="172">
        <v>0</v>
      </c>
      <c r="H384" s="191">
        <v>0</v>
      </c>
      <c r="I384" s="119"/>
    </row>
    <row r="385" spans="1:9" ht="66">
      <c r="A385" s="10">
        <v>1045</v>
      </c>
      <c r="B385" s="2" t="s">
        <v>413</v>
      </c>
      <c r="C385" s="40" t="s">
        <v>445</v>
      </c>
      <c r="D385" s="172">
        <v>0</v>
      </c>
      <c r="E385" s="172">
        <v>0</v>
      </c>
      <c r="F385" s="172">
        <v>8388</v>
      </c>
      <c r="G385" s="172">
        <v>9775</v>
      </c>
      <c r="H385" s="191">
        <v>11384.4</v>
      </c>
      <c r="I385" s="25" t="s">
        <v>441</v>
      </c>
    </row>
    <row r="386" spans="1:9" ht="82.5">
      <c r="A386" s="10">
        <v>1045</v>
      </c>
      <c r="B386" s="2" t="s">
        <v>413</v>
      </c>
      <c r="C386" s="40" t="s">
        <v>446</v>
      </c>
      <c r="D386" s="172">
        <v>0</v>
      </c>
      <c r="E386" s="172">
        <v>0</v>
      </c>
      <c r="F386" s="172">
        <v>112320</v>
      </c>
      <c r="G386" s="172">
        <v>258336</v>
      </c>
      <c r="H386" s="191">
        <v>448157</v>
      </c>
      <c r="I386" s="25" t="s">
        <v>441</v>
      </c>
    </row>
    <row r="387" spans="1:9" ht="66">
      <c r="A387" s="10">
        <v>1045</v>
      </c>
      <c r="B387" s="2" t="s">
        <v>413</v>
      </c>
      <c r="C387" s="40" t="s">
        <v>447</v>
      </c>
      <c r="D387" s="172">
        <v>0</v>
      </c>
      <c r="E387" s="172">
        <v>0</v>
      </c>
      <c r="F387" s="172">
        <v>10269.200000000001</v>
      </c>
      <c r="G387" s="172">
        <v>10269.200000000001</v>
      </c>
      <c r="H387" s="191">
        <v>10269.200000000001</v>
      </c>
      <c r="I387" s="25" t="s">
        <v>441</v>
      </c>
    </row>
    <row r="388" spans="1:9" ht="99">
      <c r="A388" s="10">
        <v>1045</v>
      </c>
      <c r="B388" s="2" t="s">
        <v>413</v>
      </c>
      <c r="C388" s="40" t="s">
        <v>448</v>
      </c>
      <c r="D388" s="172">
        <v>0</v>
      </c>
      <c r="E388" s="172">
        <v>0</v>
      </c>
      <c r="F388" s="172">
        <v>3000</v>
      </c>
      <c r="G388" s="172">
        <v>0</v>
      </c>
      <c r="H388" s="191">
        <v>0</v>
      </c>
      <c r="I388" s="119"/>
    </row>
    <row r="389" spans="1:9" ht="82.5">
      <c r="A389" s="10">
        <v>1045</v>
      </c>
      <c r="B389" s="2" t="s">
        <v>413</v>
      </c>
      <c r="C389" s="40" t="s">
        <v>449</v>
      </c>
      <c r="D389" s="172">
        <v>0</v>
      </c>
      <c r="E389" s="172">
        <v>0</v>
      </c>
      <c r="F389" s="172">
        <v>14648</v>
      </c>
      <c r="G389" s="172">
        <v>29297</v>
      </c>
      <c r="H389" s="191">
        <v>43945</v>
      </c>
      <c r="I389" s="128" t="s">
        <v>441</v>
      </c>
    </row>
    <row r="390" spans="1:9" ht="49.5">
      <c r="A390" s="10">
        <v>1045</v>
      </c>
      <c r="B390" s="2" t="s">
        <v>413</v>
      </c>
      <c r="C390" s="40" t="s">
        <v>450</v>
      </c>
      <c r="D390" s="172">
        <v>0</v>
      </c>
      <c r="E390" s="172">
        <v>0</v>
      </c>
      <c r="F390" s="172">
        <v>376024.8</v>
      </c>
      <c r="G390" s="172">
        <v>470031</v>
      </c>
      <c r="H390" s="191">
        <v>564037.19999999995</v>
      </c>
      <c r="I390" s="129" t="s">
        <v>439</v>
      </c>
    </row>
    <row r="391" spans="1:9" ht="99">
      <c r="A391" s="10">
        <v>1045</v>
      </c>
      <c r="B391" s="2" t="s">
        <v>413</v>
      </c>
      <c r="C391" s="40" t="s">
        <v>451</v>
      </c>
      <c r="D391" s="172">
        <v>0</v>
      </c>
      <c r="E391" s="172">
        <v>0</v>
      </c>
      <c r="F391" s="172">
        <v>10487.4</v>
      </c>
      <c r="G391" s="172">
        <v>9802.4</v>
      </c>
      <c r="H391" s="191">
        <v>9802.4</v>
      </c>
      <c r="I391" s="25" t="s">
        <v>452</v>
      </c>
    </row>
    <row r="392" spans="1:9" ht="115.5">
      <c r="A392" s="10">
        <v>1045</v>
      </c>
      <c r="B392" s="2" t="s">
        <v>413</v>
      </c>
      <c r="C392" s="40" t="s">
        <v>453</v>
      </c>
      <c r="D392" s="172">
        <v>0</v>
      </c>
      <c r="E392" s="172">
        <v>0</v>
      </c>
      <c r="F392" s="172">
        <v>3000</v>
      </c>
      <c r="G392" s="172">
        <v>0</v>
      </c>
      <c r="H392" s="191">
        <v>0</v>
      </c>
      <c r="I392" s="119" t="s">
        <v>439</v>
      </c>
    </row>
    <row r="393" spans="1:9" ht="99">
      <c r="A393" s="10">
        <v>1045</v>
      </c>
      <c r="B393" s="2" t="s">
        <v>413</v>
      </c>
      <c r="C393" s="40" t="s">
        <v>454</v>
      </c>
      <c r="D393" s="172">
        <v>0</v>
      </c>
      <c r="E393" s="172">
        <v>0</v>
      </c>
      <c r="F393" s="172">
        <v>0</v>
      </c>
      <c r="G393" s="172">
        <v>371037</v>
      </c>
      <c r="H393" s="191">
        <v>742074</v>
      </c>
      <c r="I393" s="119" t="s">
        <v>439</v>
      </c>
    </row>
    <row r="394" spans="1:9" ht="82.5">
      <c r="A394" s="10">
        <v>1045</v>
      </c>
      <c r="B394" s="2" t="s">
        <v>413</v>
      </c>
      <c r="C394" s="40" t="s">
        <v>455</v>
      </c>
      <c r="D394" s="172">
        <v>0</v>
      </c>
      <c r="E394" s="172">
        <v>0</v>
      </c>
      <c r="F394" s="172">
        <v>0</v>
      </c>
      <c r="G394" s="172">
        <v>94953.8</v>
      </c>
      <c r="H394" s="191">
        <v>189907.3</v>
      </c>
      <c r="I394" s="119" t="s">
        <v>439</v>
      </c>
    </row>
    <row r="395" spans="1:9" ht="66">
      <c r="A395" s="10">
        <v>1045</v>
      </c>
      <c r="B395" s="2" t="s">
        <v>413</v>
      </c>
      <c r="C395" s="40" t="s">
        <v>456</v>
      </c>
      <c r="D395" s="172">
        <v>0</v>
      </c>
      <c r="E395" s="172">
        <v>0</v>
      </c>
      <c r="F395" s="172">
        <v>0</v>
      </c>
      <c r="G395" s="172">
        <v>281250</v>
      </c>
      <c r="H395" s="191">
        <v>562500</v>
      </c>
      <c r="I395" s="119" t="s">
        <v>439</v>
      </c>
    </row>
    <row r="396" spans="1:9" ht="99">
      <c r="A396" s="10">
        <v>1045</v>
      </c>
      <c r="B396" s="2" t="s">
        <v>413</v>
      </c>
      <c r="C396" s="40" t="s">
        <v>457</v>
      </c>
      <c r="D396" s="172">
        <v>0</v>
      </c>
      <c r="E396" s="172">
        <v>0</v>
      </c>
      <c r="F396" s="172">
        <v>0</v>
      </c>
      <c r="G396" s="172">
        <v>115140</v>
      </c>
      <c r="H396" s="191">
        <v>84436</v>
      </c>
      <c r="I396" s="119" t="s">
        <v>439</v>
      </c>
    </row>
    <row r="397" spans="1:9" ht="82.5">
      <c r="A397" s="10">
        <v>1045</v>
      </c>
      <c r="B397" s="2" t="s">
        <v>413</v>
      </c>
      <c r="C397" s="40" t="s">
        <v>458</v>
      </c>
      <c r="D397" s="172">
        <v>0</v>
      </c>
      <c r="E397" s="172">
        <v>0</v>
      </c>
      <c r="F397" s="172">
        <v>3272461.2</v>
      </c>
      <c r="G397" s="172">
        <v>3386997.4</v>
      </c>
      <c r="H397" s="191">
        <v>3505542.3</v>
      </c>
      <c r="I397" s="119" t="s">
        <v>459</v>
      </c>
    </row>
    <row r="398" spans="1:9">
      <c r="A398" s="71">
        <v>1056</v>
      </c>
      <c r="B398" s="693" t="s">
        <v>460</v>
      </c>
      <c r="C398" s="694"/>
      <c r="D398" s="180">
        <f>SUM(D399:D403)</f>
        <v>826830.81</v>
      </c>
      <c r="E398" s="180">
        <f>SUM(E399:E403)</f>
        <v>849723.3</v>
      </c>
      <c r="F398" s="180">
        <f>SUM(F399:F403)</f>
        <v>1689731.2</v>
      </c>
      <c r="G398" s="180">
        <f>SUM(G399:G403)</f>
        <v>2100558.7999999998</v>
      </c>
      <c r="H398" s="180">
        <f>SUM(H399:H403)</f>
        <v>2322515.2000000002</v>
      </c>
      <c r="I398" s="117"/>
    </row>
    <row r="399" spans="1:9">
      <c r="A399" s="10">
        <v>1056</v>
      </c>
      <c r="B399" s="2">
        <v>11001</v>
      </c>
      <c r="C399" s="40" t="s">
        <v>461</v>
      </c>
      <c r="D399" s="193">
        <v>476680.8</v>
      </c>
      <c r="E399" s="172">
        <v>478882</v>
      </c>
      <c r="F399" s="172">
        <v>678416</v>
      </c>
      <c r="G399" s="172">
        <v>838043.6</v>
      </c>
      <c r="H399" s="191">
        <v>990000</v>
      </c>
      <c r="I399" s="119"/>
    </row>
    <row r="400" spans="1:9" ht="33">
      <c r="A400" s="10">
        <v>1056</v>
      </c>
      <c r="B400" s="2">
        <v>11002</v>
      </c>
      <c r="C400" s="40" t="s">
        <v>462</v>
      </c>
      <c r="D400" s="181">
        <v>75723.790000000008</v>
      </c>
      <c r="E400" s="172">
        <v>93529.600000000006</v>
      </c>
      <c r="F400" s="172">
        <v>130000</v>
      </c>
      <c r="G400" s="172">
        <v>150000</v>
      </c>
      <c r="H400" s="191">
        <v>20000</v>
      </c>
      <c r="I400" s="119"/>
    </row>
    <row r="401" spans="1:9">
      <c r="A401" s="10">
        <v>1056</v>
      </c>
      <c r="B401" s="2">
        <v>11003</v>
      </c>
      <c r="C401" s="40" t="s">
        <v>463</v>
      </c>
      <c r="D401" s="193">
        <v>200261.2</v>
      </c>
      <c r="E401" s="172">
        <v>204515.20000000001</v>
      </c>
      <c r="F401" s="172">
        <v>204515.20000000001</v>
      </c>
      <c r="G401" s="172">
        <v>204515.20000000001</v>
      </c>
      <c r="H401" s="191">
        <v>204515.20000000001</v>
      </c>
      <c r="I401" s="119"/>
    </row>
    <row r="402" spans="1:9">
      <c r="A402" s="10">
        <v>1056</v>
      </c>
      <c r="B402" s="2">
        <v>11005</v>
      </c>
      <c r="C402" s="40" t="s">
        <v>464</v>
      </c>
      <c r="D402" s="193">
        <v>74165.02</v>
      </c>
      <c r="E402" s="172">
        <v>72796.5</v>
      </c>
      <c r="F402" s="172">
        <v>176800</v>
      </c>
      <c r="G402" s="172">
        <v>208000</v>
      </c>
      <c r="H402" s="191">
        <v>208000</v>
      </c>
      <c r="I402" s="119"/>
    </row>
    <row r="403" spans="1:9" ht="33">
      <c r="A403" s="10">
        <v>1056</v>
      </c>
      <c r="B403" s="2" t="s">
        <v>465</v>
      </c>
      <c r="C403" s="40" t="s">
        <v>466</v>
      </c>
      <c r="D403" s="193">
        <v>0</v>
      </c>
      <c r="E403" s="172">
        <v>0</v>
      </c>
      <c r="F403" s="172">
        <v>500000</v>
      </c>
      <c r="G403" s="172">
        <v>700000</v>
      </c>
      <c r="H403" s="191">
        <v>900000</v>
      </c>
      <c r="I403" s="119"/>
    </row>
    <row r="404" spans="1:9">
      <c r="A404" s="32">
        <v>1075</v>
      </c>
      <c r="B404" s="695" t="s">
        <v>467</v>
      </c>
      <c r="C404" s="695"/>
      <c r="D404" s="180">
        <f>SUM(D405:D421)</f>
        <v>2983103.88</v>
      </c>
      <c r="E404" s="180">
        <f>SUM(E405:E421)</f>
        <v>3174439.9999999995</v>
      </c>
      <c r="F404" s="180">
        <f>SUM(F405:F421)</f>
        <v>3891747.0000000005</v>
      </c>
      <c r="G404" s="180">
        <f>SUM(G405:G421)</f>
        <v>3854394.8000000003</v>
      </c>
      <c r="H404" s="180">
        <f>SUM(H405:H421)</f>
        <v>3870579.8000000003</v>
      </c>
      <c r="I404" s="117"/>
    </row>
    <row r="405" spans="1:9" ht="33">
      <c r="A405" s="10">
        <v>1075</v>
      </c>
      <c r="B405" s="2">
        <v>11001</v>
      </c>
      <c r="C405" s="40" t="s">
        <v>468</v>
      </c>
      <c r="D405" s="179">
        <v>101058.8</v>
      </c>
      <c r="E405" s="179">
        <v>100705.2</v>
      </c>
      <c r="F405" s="172">
        <v>110775</v>
      </c>
      <c r="G405" s="172">
        <v>121853</v>
      </c>
      <c r="H405" s="191">
        <v>134038</v>
      </c>
      <c r="I405" s="119"/>
    </row>
    <row r="406" spans="1:9" ht="33">
      <c r="A406" s="10">
        <v>1075</v>
      </c>
      <c r="B406" s="2">
        <v>11002</v>
      </c>
      <c r="C406" s="40" t="s">
        <v>469</v>
      </c>
      <c r="D406" s="179">
        <v>33687.800000000003</v>
      </c>
      <c r="E406" s="179">
        <v>34940.6</v>
      </c>
      <c r="F406" s="172">
        <v>52180.6</v>
      </c>
      <c r="G406" s="172">
        <v>52180.6</v>
      </c>
      <c r="H406" s="191">
        <v>52180.6</v>
      </c>
      <c r="I406" s="119"/>
    </row>
    <row r="407" spans="1:9" ht="49.5">
      <c r="A407" s="10">
        <v>1075</v>
      </c>
      <c r="B407" s="2">
        <v>11003</v>
      </c>
      <c r="C407" s="40" t="s">
        <v>470</v>
      </c>
      <c r="D407" s="179">
        <v>69622.5</v>
      </c>
      <c r="E407" s="179">
        <v>79102.5</v>
      </c>
      <c r="F407" s="172">
        <v>79102.5</v>
      </c>
      <c r="G407" s="172">
        <v>79102.5</v>
      </c>
      <c r="H407" s="191">
        <v>79102.5</v>
      </c>
      <c r="I407" s="119"/>
    </row>
    <row r="408" spans="1:9" ht="33">
      <c r="A408" s="10">
        <v>1075</v>
      </c>
      <c r="B408" s="2">
        <v>11004</v>
      </c>
      <c r="C408" s="40" t="s">
        <v>471</v>
      </c>
      <c r="D408" s="179">
        <v>2636244.0599999996</v>
      </c>
      <c r="E408" s="179">
        <v>2784021.3</v>
      </c>
      <c r="F408" s="193">
        <v>3268688.9000000004</v>
      </c>
      <c r="G408" s="193">
        <v>3232258.7</v>
      </c>
      <c r="H408" s="192">
        <v>3232258.7</v>
      </c>
      <c r="I408" s="119"/>
    </row>
    <row r="409" spans="1:9" ht="49.5">
      <c r="A409" s="10">
        <v>1075</v>
      </c>
      <c r="B409" s="2">
        <v>11005</v>
      </c>
      <c r="C409" s="40" t="s">
        <v>472</v>
      </c>
      <c r="D409" s="179">
        <v>46601.020000000004</v>
      </c>
      <c r="E409" s="179">
        <v>52000</v>
      </c>
      <c r="F409" s="172">
        <v>90000</v>
      </c>
      <c r="G409" s="172">
        <v>98000</v>
      </c>
      <c r="H409" s="191">
        <v>100000</v>
      </c>
      <c r="I409" s="119"/>
    </row>
    <row r="410" spans="1:9" ht="99">
      <c r="A410" s="10">
        <v>1075</v>
      </c>
      <c r="B410" s="2">
        <v>11006</v>
      </c>
      <c r="C410" s="40" t="s">
        <v>473</v>
      </c>
      <c r="D410" s="179">
        <v>510</v>
      </c>
      <c r="E410" s="179">
        <v>0</v>
      </c>
      <c r="F410" s="172">
        <v>0</v>
      </c>
      <c r="G410" s="172">
        <v>0</v>
      </c>
      <c r="H410" s="191">
        <v>0</v>
      </c>
      <c r="I410" s="119"/>
    </row>
    <row r="411" spans="1:9" ht="66">
      <c r="A411" s="10">
        <v>1075</v>
      </c>
      <c r="B411" s="2">
        <v>11007</v>
      </c>
      <c r="C411" s="40" t="s">
        <v>474</v>
      </c>
      <c r="D411" s="179">
        <v>42624.700000000004</v>
      </c>
      <c r="E411" s="179">
        <v>50000</v>
      </c>
      <c r="F411" s="172">
        <f>60000+70000</f>
        <v>130000</v>
      </c>
      <c r="G411" s="172">
        <f>60000+70000</f>
        <v>130000</v>
      </c>
      <c r="H411" s="191">
        <f>60000+70000</f>
        <v>130000</v>
      </c>
      <c r="I411" s="25" t="s">
        <v>475</v>
      </c>
    </row>
    <row r="412" spans="1:9" ht="49.5">
      <c r="A412" s="10">
        <v>1075</v>
      </c>
      <c r="B412" s="2">
        <v>11008</v>
      </c>
      <c r="C412" s="40" t="s">
        <v>476</v>
      </c>
      <c r="D412" s="179">
        <v>3745</v>
      </c>
      <c r="E412" s="179">
        <v>12000</v>
      </c>
      <c r="F412" s="172">
        <v>12000</v>
      </c>
      <c r="G412" s="172">
        <v>12000</v>
      </c>
      <c r="H412" s="191">
        <v>12000</v>
      </c>
      <c r="I412" s="119"/>
    </row>
    <row r="413" spans="1:9" ht="66">
      <c r="A413" s="10">
        <v>1075</v>
      </c>
      <c r="B413" s="2">
        <v>11009</v>
      </c>
      <c r="C413" s="40" t="s">
        <v>477</v>
      </c>
      <c r="D413" s="179">
        <v>49010</v>
      </c>
      <c r="E413" s="179">
        <v>11750.4</v>
      </c>
      <c r="F413" s="172">
        <v>20000</v>
      </c>
      <c r="G413" s="172">
        <v>6000</v>
      </c>
      <c r="H413" s="191">
        <v>6000</v>
      </c>
      <c r="I413" s="119"/>
    </row>
    <row r="414" spans="1:9" ht="33">
      <c r="A414" s="10">
        <v>1075</v>
      </c>
      <c r="B414" s="2">
        <v>11010</v>
      </c>
      <c r="C414" s="40" t="s">
        <v>478</v>
      </c>
      <c r="D414" s="179">
        <v>0</v>
      </c>
      <c r="E414" s="179">
        <v>49920</v>
      </c>
      <c r="F414" s="172">
        <v>70000</v>
      </c>
      <c r="G414" s="172">
        <v>75000</v>
      </c>
      <c r="H414" s="191">
        <v>80000</v>
      </c>
      <c r="I414" s="119"/>
    </row>
    <row r="415" spans="1:9" ht="132">
      <c r="A415" s="10">
        <v>1075</v>
      </c>
      <c r="B415" s="2" t="s">
        <v>413</v>
      </c>
      <c r="C415" s="40" t="s">
        <v>479</v>
      </c>
      <c r="D415" s="179">
        <v>0</v>
      </c>
      <c r="E415" s="179">
        <v>0</v>
      </c>
      <c r="F415" s="172">
        <v>10000</v>
      </c>
      <c r="G415" s="172">
        <v>10000</v>
      </c>
      <c r="H415" s="191">
        <v>10000</v>
      </c>
      <c r="I415" s="119"/>
    </row>
    <row r="416" spans="1:9" ht="49.5">
      <c r="A416" s="10">
        <v>1075</v>
      </c>
      <c r="B416" s="2" t="s">
        <v>413</v>
      </c>
      <c r="C416" s="40" t="s">
        <v>480</v>
      </c>
      <c r="D416" s="179">
        <v>0</v>
      </c>
      <c r="E416" s="179">
        <v>0</v>
      </c>
      <c r="F416" s="172">
        <v>7000</v>
      </c>
      <c r="G416" s="172">
        <v>1500</v>
      </c>
      <c r="H416" s="191">
        <v>1500</v>
      </c>
      <c r="I416" s="119"/>
    </row>
    <row r="417" spans="1:9" ht="33">
      <c r="A417" s="10">
        <v>1075</v>
      </c>
      <c r="B417" s="2" t="s">
        <v>413</v>
      </c>
      <c r="C417" s="40" t="s">
        <v>481</v>
      </c>
      <c r="D417" s="179">
        <v>0</v>
      </c>
      <c r="E417" s="179">
        <v>0</v>
      </c>
      <c r="F417" s="172">
        <v>7000</v>
      </c>
      <c r="G417" s="172">
        <v>1500</v>
      </c>
      <c r="H417" s="191">
        <v>1500</v>
      </c>
      <c r="I417" s="119"/>
    </row>
    <row r="418" spans="1:9" ht="49.5">
      <c r="A418" s="10">
        <v>1075</v>
      </c>
      <c r="B418" s="2" t="s">
        <v>413</v>
      </c>
      <c r="C418" s="40" t="s">
        <v>482</v>
      </c>
      <c r="D418" s="179">
        <v>0</v>
      </c>
      <c r="E418" s="179">
        <v>0</v>
      </c>
      <c r="F418" s="172">
        <v>15000</v>
      </c>
      <c r="G418" s="172">
        <v>15000</v>
      </c>
      <c r="H418" s="191">
        <v>15000</v>
      </c>
      <c r="I418" s="119"/>
    </row>
    <row r="419" spans="1:9" ht="49.5">
      <c r="A419" s="10">
        <v>1075</v>
      </c>
      <c r="B419" s="2" t="s">
        <v>413</v>
      </c>
      <c r="C419" s="40" t="s">
        <v>483</v>
      </c>
      <c r="D419" s="179">
        <v>0</v>
      </c>
      <c r="E419" s="179">
        <v>0</v>
      </c>
      <c r="F419" s="172">
        <v>5000</v>
      </c>
      <c r="G419" s="172">
        <v>5000</v>
      </c>
      <c r="H419" s="191">
        <v>5000</v>
      </c>
      <c r="I419" s="119"/>
    </row>
    <row r="420" spans="1:9" ht="66">
      <c r="A420" s="10">
        <v>1075</v>
      </c>
      <c r="B420" s="2" t="s">
        <v>413</v>
      </c>
      <c r="C420" s="40" t="s">
        <v>484</v>
      </c>
      <c r="D420" s="179">
        <v>0</v>
      </c>
      <c r="E420" s="179">
        <v>0</v>
      </c>
      <c r="F420" s="172">
        <v>3000</v>
      </c>
      <c r="G420" s="172">
        <v>3000</v>
      </c>
      <c r="H420" s="191">
        <v>0</v>
      </c>
      <c r="I420" s="119"/>
    </row>
    <row r="421" spans="1:9" ht="49.5">
      <c r="A421" s="10">
        <v>1075</v>
      </c>
      <c r="B421" s="2" t="s">
        <v>413</v>
      </c>
      <c r="C421" s="40" t="s">
        <v>485</v>
      </c>
      <c r="D421" s="179">
        <v>0</v>
      </c>
      <c r="E421" s="179">
        <v>0</v>
      </c>
      <c r="F421" s="172">
        <v>12000</v>
      </c>
      <c r="G421" s="172">
        <v>12000</v>
      </c>
      <c r="H421" s="191">
        <v>12000</v>
      </c>
      <c r="I421" s="119"/>
    </row>
    <row r="422" spans="1:9">
      <c r="A422" s="32">
        <v>1111</v>
      </c>
      <c r="B422" s="696" t="s">
        <v>486</v>
      </c>
      <c r="C422" s="697"/>
      <c r="D422" s="180">
        <f>SUM(D423:D437)</f>
        <v>12551410.710000001</v>
      </c>
      <c r="E422" s="180">
        <f>SUM(E423:E437)</f>
        <v>13951331.999999998</v>
      </c>
      <c r="F422" s="180">
        <f>SUM(F423:F437)</f>
        <v>15710028.049999999</v>
      </c>
      <c r="G422" s="180">
        <f>SUM(G423:G437)</f>
        <v>16018052.499999998</v>
      </c>
      <c r="H422" s="180">
        <f>SUM(H423:H437)</f>
        <v>17383755.419000003</v>
      </c>
      <c r="I422" s="117"/>
    </row>
    <row r="423" spans="1:9" ht="33">
      <c r="A423" s="10">
        <v>1111</v>
      </c>
      <c r="B423" s="4">
        <v>11001</v>
      </c>
      <c r="C423" s="40" t="s">
        <v>487</v>
      </c>
      <c r="D423" s="179">
        <v>43113.5</v>
      </c>
      <c r="E423" s="179">
        <v>43113.5</v>
      </c>
      <c r="F423" s="172">
        <v>51535</v>
      </c>
      <c r="G423" s="172">
        <v>51535</v>
      </c>
      <c r="H423" s="191">
        <v>51535</v>
      </c>
      <c r="I423" s="25"/>
    </row>
    <row r="424" spans="1:9" ht="33">
      <c r="A424" s="10">
        <v>1111</v>
      </c>
      <c r="B424" s="4">
        <v>11003</v>
      </c>
      <c r="C424" s="40" t="s">
        <v>488</v>
      </c>
      <c r="D424" s="179">
        <v>59989.5</v>
      </c>
      <c r="E424" s="179">
        <v>59989.5</v>
      </c>
      <c r="F424" s="172">
        <v>85000</v>
      </c>
      <c r="G424" s="172">
        <v>95000</v>
      </c>
      <c r="H424" s="191">
        <v>100000</v>
      </c>
      <c r="I424" s="25"/>
    </row>
    <row r="425" spans="1:9" ht="99">
      <c r="A425" s="10">
        <v>1111</v>
      </c>
      <c r="B425" s="4">
        <v>11004</v>
      </c>
      <c r="C425" s="40" t="s">
        <v>489</v>
      </c>
      <c r="D425" s="179">
        <v>15379.800000000001</v>
      </c>
      <c r="E425" s="179">
        <v>0</v>
      </c>
      <c r="F425" s="172">
        <v>0</v>
      </c>
      <c r="G425" s="172">
        <v>0</v>
      </c>
      <c r="H425" s="191">
        <v>0</v>
      </c>
      <c r="I425" s="25"/>
    </row>
    <row r="426" spans="1:9" ht="49.5">
      <c r="A426" s="10">
        <v>1111</v>
      </c>
      <c r="B426" s="4">
        <v>11005</v>
      </c>
      <c r="C426" s="40" t="s">
        <v>490</v>
      </c>
      <c r="D426" s="179">
        <v>2919</v>
      </c>
      <c r="E426" s="179">
        <v>0</v>
      </c>
      <c r="F426" s="172">
        <v>0</v>
      </c>
      <c r="G426" s="172">
        <v>0</v>
      </c>
      <c r="H426" s="191">
        <v>0</v>
      </c>
      <c r="I426" s="25"/>
    </row>
    <row r="427" spans="1:9" ht="33">
      <c r="A427" s="10">
        <v>1111</v>
      </c>
      <c r="B427" s="4">
        <v>11006</v>
      </c>
      <c r="C427" s="40" t="s">
        <v>491</v>
      </c>
      <c r="D427" s="179">
        <v>22680</v>
      </c>
      <c r="E427" s="179">
        <v>0</v>
      </c>
      <c r="F427" s="172">
        <v>0</v>
      </c>
      <c r="G427" s="172">
        <v>0</v>
      </c>
      <c r="H427" s="191">
        <v>0</v>
      </c>
      <c r="I427" s="25"/>
    </row>
    <row r="428" spans="1:9" ht="49.5">
      <c r="A428" s="10">
        <v>1111</v>
      </c>
      <c r="B428" s="4">
        <v>12001</v>
      </c>
      <c r="C428" s="40" t="s">
        <v>492</v>
      </c>
      <c r="D428" s="179">
        <v>754424.31</v>
      </c>
      <c r="E428" s="179">
        <v>1062013.2</v>
      </c>
      <c r="F428" s="179">
        <v>1105813.28</v>
      </c>
      <c r="G428" s="179">
        <v>1105813.28</v>
      </c>
      <c r="H428" s="194">
        <v>1105813.28</v>
      </c>
      <c r="I428" s="668" t="s">
        <v>493</v>
      </c>
    </row>
    <row r="429" spans="1:9" ht="66">
      <c r="A429" s="10">
        <v>1111</v>
      </c>
      <c r="B429" s="4">
        <v>12002</v>
      </c>
      <c r="C429" s="40" t="s">
        <v>494</v>
      </c>
      <c r="D429" s="179">
        <v>406342.00000000006</v>
      </c>
      <c r="E429" s="179">
        <v>520749</v>
      </c>
      <c r="F429" s="193">
        <v>603336</v>
      </c>
      <c r="G429" s="193">
        <v>652956</v>
      </c>
      <c r="H429" s="192">
        <v>718251.6</v>
      </c>
      <c r="I429" s="669"/>
    </row>
    <row r="430" spans="1:9" ht="49.5">
      <c r="A430" s="10">
        <v>1111</v>
      </c>
      <c r="B430" s="4">
        <v>12003</v>
      </c>
      <c r="C430" s="40" t="s">
        <v>495</v>
      </c>
      <c r="D430" s="179">
        <v>55461.8</v>
      </c>
      <c r="E430" s="179">
        <v>89040</v>
      </c>
      <c r="F430" s="172">
        <v>94500</v>
      </c>
      <c r="G430" s="172">
        <v>122070</v>
      </c>
      <c r="H430" s="191">
        <v>141720</v>
      </c>
      <c r="I430" s="670"/>
    </row>
    <row r="431" spans="1:9" ht="49.5">
      <c r="A431" s="10">
        <v>1111</v>
      </c>
      <c r="B431" s="4">
        <v>12004</v>
      </c>
      <c r="C431" s="40" t="s">
        <v>496</v>
      </c>
      <c r="D431" s="179">
        <v>9902903.6999999993</v>
      </c>
      <c r="E431" s="179">
        <v>11096493</v>
      </c>
      <c r="F431" s="193">
        <v>12355443.710000001</v>
      </c>
      <c r="G431" s="193">
        <v>12546646.59</v>
      </c>
      <c r="H431" s="192">
        <v>13801311.249</v>
      </c>
      <c r="I431" s="25"/>
    </row>
    <row r="432" spans="1:9" ht="66">
      <c r="A432" s="10">
        <v>1111</v>
      </c>
      <c r="B432" s="4">
        <v>12005</v>
      </c>
      <c r="C432" s="40" t="s">
        <v>497</v>
      </c>
      <c r="D432" s="179">
        <v>464876.80000000005</v>
      </c>
      <c r="E432" s="179">
        <v>502764.6</v>
      </c>
      <c r="F432" s="193">
        <v>550690.5</v>
      </c>
      <c r="G432" s="193">
        <v>563454.49</v>
      </c>
      <c r="H432" s="192">
        <v>577461.88</v>
      </c>
      <c r="I432" s="25"/>
    </row>
    <row r="433" spans="1:9" ht="66">
      <c r="A433" s="10">
        <v>1111</v>
      </c>
      <c r="B433" s="4">
        <v>12006</v>
      </c>
      <c r="C433" s="40" t="s">
        <v>498</v>
      </c>
      <c r="D433" s="179">
        <v>20528.900000000001</v>
      </c>
      <c r="E433" s="179">
        <v>35586.199999999997</v>
      </c>
      <c r="F433" s="172">
        <v>36891.360000000001</v>
      </c>
      <c r="G433" s="172">
        <v>45858.94</v>
      </c>
      <c r="H433" s="191">
        <v>52944.21</v>
      </c>
      <c r="I433" s="25"/>
    </row>
    <row r="434" spans="1:9" ht="99">
      <c r="A434" s="10">
        <v>1111</v>
      </c>
      <c r="B434" s="4">
        <v>12007</v>
      </c>
      <c r="C434" s="40" t="s">
        <v>499</v>
      </c>
      <c r="D434" s="179">
        <v>35045.5</v>
      </c>
      <c r="E434" s="179">
        <v>35045.5</v>
      </c>
      <c r="F434" s="172">
        <v>35045.5</v>
      </c>
      <c r="G434" s="172">
        <v>35045.5</v>
      </c>
      <c r="H434" s="191">
        <v>35045.5</v>
      </c>
      <c r="I434" s="25"/>
    </row>
    <row r="435" spans="1:9" ht="49.5">
      <c r="A435" s="10">
        <v>1111</v>
      </c>
      <c r="B435" s="4">
        <v>12008</v>
      </c>
      <c r="C435" s="40" t="s">
        <v>500</v>
      </c>
      <c r="D435" s="179">
        <v>74189.400000000009</v>
      </c>
      <c r="E435" s="179">
        <v>66300</v>
      </c>
      <c r="F435" s="172">
        <v>97300</v>
      </c>
      <c r="G435" s="172">
        <v>105200</v>
      </c>
      <c r="H435" s="191">
        <v>105200</v>
      </c>
      <c r="I435" s="25"/>
    </row>
    <row r="436" spans="1:9" ht="409.5">
      <c r="A436" s="10">
        <v>1111</v>
      </c>
      <c r="B436" s="4">
        <v>12011</v>
      </c>
      <c r="C436" s="40" t="s">
        <v>501</v>
      </c>
      <c r="D436" s="179">
        <v>439321.3</v>
      </c>
      <c r="E436" s="179">
        <v>440237.5</v>
      </c>
      <c r="F436" s="172">
        <v>440237.5</v>
      </c>
      <c r="G436" s="172">
        <v>440237.5</v>
      </c>
      <c r="H436" s="191">
        <v>440237.5</v>
      </c>
      <c r="I436" s="25" t="s">
        <v>502</v>
      </c>
    </row>
    <row r="437" spans="1:9" ht="165">
      <c r="A437" s="10">
        <v>1111</v>
      </c>
      <c r="B437" s="4">
        <v>12012</v>
      </c>
      <c r="C437" s="40" t="s">
        <v>503</v>
      </c>
      <c r="D437" s="179">
        <v>254235.2</v>
      </c>
      <c r="E437" s="179">
        <v>0</v>
      </c>
      <c r="F437" s="172">
        <v>254235.2</v>
      </c>
      <c r="G437" s="172">
        <v>254235.2</v>
      </c>
      <c r="H437" s="172">
        <v>254235.2</v>
      </c>
      <c r="I437" s="25"/>
    </row>
    <row r="438" spans="1:9">
      <c r="A438" s="32">
        <v>1115</v>
      </c>
      <c r="B438" s="702" t="s">
        <v>504</v>
      </c>
      <c r="C438" s="702"/>
      <c r="D438" s="180">
        <f>SUM(D439:D444)</f>
        <v>2190393.77</v>
      </c>
      <c r="E438" s="180">
        <f>SUM(E439:E444)</f>
        <v>2331878.3999999999</v>
      </c>
      <c r="F438" s="180">
        <f>SUM(F439:F444)</f>
        <v>2521299.7000000002</v>
      </c>
      <c r="G438" s="180">
        <f>SUM(G439:G444)</f>
        <v>3087088.4</v>
      </c>
      <c r="H438" s="180">
        <f>SUM(H439:H444)</f>
        <v>3169887.7</v>
      </c>
      <c r="I438" s="130"/>
    </row>
    <row r="439" spans="1:9" ht="148.5">
      <c r="A439" s="10">
        <v>1115</v>
      </c>
      <c r="B439" s="4">
        <v>11001</v>
      </c>
      <c r="C439" s="40" t="s">
        <v>505</v>
      </c>
      <c r="D439" s="179">
        <v>63306.91</v>
      </c>
      <c r="E439" s="179">
        <v>99714.4</v>
      </c>
      <c r="F439" s="172">
        <v>92483.7</v>
      </c>
      <c r="G439" s="172">
        <v>141874.4</v>
      </c>
      <c r="H439" s="194">
        <v>92483.7</v>
      </c>
      <c r="I439" s="25" t="s">
        <v>506</v>
      </c>
    </row>
    <row r="440" spans="1:9" ht="49.5">
      <c r="A440" s="10">
        <v>1115</v>
      </c>
      <c r="B440" s="4">
        <v>11002</v>
      </c>
      <c r="C440" s="40" t="s">
        <v>507</v>
      </c>
      <c r="D440" s="179">
        <v>8561</v>
      </c>
      <c r="E440" s="179">
        <v>9600</v>
      </c>
      <c r="F440" s="172">
        <v>9600</v>
      </c>
      <c r="G440" s="172">
        <v>9600</v>
      </c>
      <c r="H440" s="194">
        <v>9600</v>
      </c>
      <c r="I440" s="25"/>
    </row>
    <row r="441" spans="1:9" ht="33">
      <c r="A441" s="10">
        <v>1115</v>
      </c>
      <c r="B441" s="4">
        <v>11003</v>
      </c>
      <c r="C441" s="40" t="s">
        <v>508</v>
      </c>
      <c r="D441" s="179">
        <v>8194.66</v>
      </c>
      <c r="E441" s="179">
        <v>10216</v>
      </c>
      <c r="F441" s="172">
        <v>10216</v>
      </c>
      <c r="G441" s="172">
        <v>10216</v>
      </c>
      <c r="H441" s="194">
        <v>10216</v>
      </c>
      <c r="I441" s="25"/>
    </row>
    <row r="442" spans="1:9" ht="33">
      <c r="A442" s="10">
        <v>1115</v>
      </c>
      <c r="B442" s="4">
        <v>11006</v>
      </c>
      <c r="C442" s="40" t="s">
        <v>509</v>
      </c>
      <c r="D442" s="179">
        <v>0</v>
      </c>
      <c r="E442" s="179">
        <v>42160</v>
      </c>
      <c r="F442" s="172">
        <v>21000</v>
      </c>
      <c r="G442" s="172">
        <v>21000</v>
      </c>
      <c r="H442" s="191">
        <v>21000</v>
      </c>
      <c r="I442" s="25"/>
    </row>
    <row r="443" spans="1:9" ht="49.5">
      <c r="A443" s="10">
        <v>1115</v>
      </c>
      <c r="B443" s="4">
        <v>12001</v>
      </c>
      <c r="C443" s="40" t="s">
        <v>510</v>
      </c>
      <c r="D443" s="179">
        <v>2064900</v>
      </c>
      <c r="E443" s="179">
        <v>2064900</v>
      </c>
      <c r="F443" s="172">
        <v>2388000</v>
      </c>
      <c r="G443" s="172">
        <v>2667500</v>
      </c>
      <c r="H443" s="191">
        <v>2931300</v>
      </c>
      <c r="I443" s="25" t="s">
        <v>511</v>
      </c>
    </row>
    <row r="444" spans="1:9" ht="115.5">
      <c r="A444" s="10">
        <v>1115</v>
      </c>
      <c r="B444" s="4">
        <v>32001</v>
      </c>
      <c r="C444" s="40" t="s">
        <v>512</v>
      </c>
      <c r="D444" s="179">
        <v>45431.200000000004</v>
      </c>
      <c r="E444" s="179">
        <v>105288</v>
      </c>
      <c r="F444" s="172" t="s">
        <v>513</v>
      </c>
      <c r="G444" s="172">
        <v>236898</v>
      </c>
      <c r="H444" s="194">
        <v>105288</v>
      </c>
      <c r="I444" s="25" t="s">
        <v>514</v>
      </c>
    </row>
    <row r="445" spans="1:9">
      <c r="A445" s="32">
        <v>1124</v>
      </c>
      <c r="B445" s="690" t="s">
        <v>515</v>
      </c>
      <c r="C445" s="690"/>
      <c r="D445" s="180">
        <f>SUM(D446:D452)</f>
        <v>1739064.1700000002</v>
      </c>
      <c r="E445" s="180">
        <f>SUM(E446:E452)</f>
        <v>1768033.7</v>
      </c>
      <c r="F445" s="180">
        <f>SUM(F446:F452)</f>
        <v>1893090.4</v>
      </c>
      <c r="G445" s="180">
        <f>SUM(G446:G452)</f>
        <v>1905090.4</v>
      </c>
      <c r="H445" s="180">
        <f>SUM(H446:H452)</f>
        <v>1917090.4</v>
      </c>
      <c r="I445" s="130"/>
    </row>
    <row r="446" spans="1:9" ht="32.25" customHeight="1">
      <c r="A446" s="10">
        <v>1124</v>
      </c>
      <c r="B446" s="4">
        <v>11002</v>
      </c>
      <c r="C446" s="40" t="s">
        <v>516</v>
      </c>
      <c r="D446" s="179">
        <v>44605.760000000002</v>
      </c>
      <c r="E446" s="179">
        <v>41500</v>
      </c>
      <c r="F446" s="172">
        <v>61500</v>
      </c>
      <c r="G446" s="172">
        <v>66500</v>
      </c>
      <c r="H446" s="191">
        <v>71500</v>
      </c>
      <c r="I446" s="25"/>
    </row>
    <row r="447" spans="1:9">
      <c r="A447" s="10">
        <v>1124</v>
      </c>
      <c r="B447" s="4">
        <v>11003</v>
      </c>
      <c r="C447" s="40" t="s">
        <v>517</v>
      </c>
      <c r="D447" s="179">
        <v>60886.78</v>
      </c>
      <c r="E447" s="179">
        <v>62073.8</v>
      </c>
      <c r="F447" s="179">
        <v>62073.8</v>
      </c>
      <c r="G447" s="172">
        <v>62073.8</v>
      </c>
      <c r="H447" s="194">
        <v>62073.8</v>
      </c>
      <c r="I447" s="25"/>
    </row>
    <row r="448" spans="1:9">
      <c r="A448" s="10">
        <v>1124</v>
      </c>
      <c r="B448" s="4">
        <v>11004</v>
      </c>
      <c r="C448" s="40" t="s">
        <v>518</v>
      </c>
      <c r="D448" s="179">
        <v>1564605</v>
      </c>
      <c r="E448" s="179">
        <v>1579338.9</v>
      </c>
      <c r="F448" s="172">
        <v>1652562.9</v>
      </c>
      <c r="G448" s="172">
        <v>1652562.9</v>
      </c>
      <c r="H448" s="194">
        <v>1652562.9</v>
      </c>
      <c r="I448" s="25"/>
    </row>
    <row r="449" spans="1:9" ht="66">
      <c r="A449" s="10">
        <v>1124</v>
      </c>
      <c r="B449" s="4">
        <v>11005</v>
      </c>
      <c r="C449" s="40" t="s">
        <v>519</v>
      </c>
      <c r="D449" s="179">
        <v>18540.05</v>
      </c>
      <c r="E449" s="179">
        <v>33334.400000000001</v>
      </c>
      <c r="F449" s="172">
        <v>43334.400000000001</v>
      </c>
      <c r="G449" s="172">
        <v>43334.400000000001</v>
      </c>
      <c r="H449" s="194">
        <v>43334.400000000001</v>
      </c>
      <c r="I449" s="25"/>
    </row>
    <row r="450" spans="1:9" ht="99">
      <c r="A450" s="10">
        <v>1124</v>
      </c>
      <c r="B450" s="4">
        <v>11006</v>
      </c>
      <c r="C450" s="40" t="s">
        <v>520</v>
      </c>
      <c r="D450" s="179">
        <v>9786.58</v>
      </c>
      <c r="E450" s="179">
        <v>9786.6</v>
      </c>
      <c r="F450" s="172">
        <v>19619.3</v>
      </c>
      <c r="G450" s="172">
        <v>19619.3</v>
      </c>
      <c r="H450" s="191">
        <v>19619.3</v>
      </c>
      <c r="I450" s="25"/>
    </row>
    <row r="451" spans="1:9">
      <c r="A451" s="10">
        <v>1124</v>
      </c>
      <c r="B451" s="4">
        <v>11007</v>
      </c>
      <c r="C451" s="40" t="s">
        <v>521</v>
      </c>
      <c r="D451" s="179">
        <v>40640</v>
      </c>
      <c r="E451" s="179">
        <v>42000</v>
      </c>
      <c r="F451" s="172">
        <v>49000</v>
      </c>
      <c r="G451" s="172">
        <v>56000</v>
      </c>
      <c r="H451" s="191">
        <v>63000</v>
      </c>
      <c r="I451" s="25"/>
    </row>
    <row r="452" spans="1:9" ht="49.5">
      <c r="A452" s="10">
        <v>1124</v>
      </c>
      <c r="B452" s="4" t="s">
        <v>413</v>
      </c>
      <c r="C452" s="40" t="s">
        <v>522</v>
      </c>
      <c r="D452" s="179">
        <v>0</v>
      </c>
      <c r="E452" s="179">
        <v>0</v>
      </c>
      <c r="F452" s="172">
        <v>5000</v>
      </c>
      <c r="G452" s="172">
        <v>5000</v>
      </c>
      <c r="H452" s="191">
        <v>5000</v>
      </c>
      <c r="I452" s="25"/>
    </row>
    <row r="453" spans="1:9">
      <c r="A453" s="32">
        <v>1130</v>
      </c>
      <c r="B453" s="639" t="s">
        <v>523</v>
      </c>
      <c r="C453" s="640"/>
      <c r="D453" s="178">
        <f>SUM(D454:D458)</f>
        <v>1857899.8399999999</v>
      </c>
      <c r="E453" s="178">
        <f>SUM(E454:E458)</f>
        <v>1938163</v>
      </c>
      <c r="F453" s="178">
        <f>SUM(F454:F458)</f>
        <v>2048129.6</v>
      </c>
      <c r="G453" s="178">
        <f>SUM(G454:G458)</f>
        <v>1985498.3</v>
      </c>
      <c r="H453" s="195">
        <f>SUM(H454:H458)</f>
        <v>2006235.6</v>
      </c>
      <c r="I453" s="131"/>
    </row>
    <row r="454" spans="1:9" ht="99" customHeight="1">
      <c r="A454" s="10">
        <v>1130</v>
      </c>
      <c r="B454" s="4">
        <v>11001</v>
      </c>
      <c r="C454" s="40" t="s">
        <v>524</v>
      </c>
      <c r="D454" s="179">
        <v>1738460.02</v>
      </c>
      <c r="E454" s="179">
        <v>1820266.5</v>
      </c>
      <c r="F454" s="172">
        <v>1849121</v>
      </c>
      <c r="G454" s="172">
        <v>1865366.3</v>
      </c>
      <c r="H454" s="191">
        <v>1884100.6</v>
      </c>
      <c r="I454" s="25"/>
    </row>
    <row r="455" spans="1:9" ht="49.5">
      <c r="A455" s="10">
        <v>1130</v>
      </c>
      <c r="B455" s="4">
        <v>11002</v>
      </c>
      <c r="C455" s="40" t="s">
        <v>525</v>
      </c>
      <c r="D455" s="179">
        <v>109795.24</v>
      </c>
      <c r="E455" s="179">
        <v>117896.5</v>
      </c>
      <c r="F455" s="172">
        <v>199008.6</v>
      </c>
      <c r="G455" s="172">
        <v>120132</v>
      </c>
      <c r="H455" s="191">
        <v>122135</v>
      </c>
      <c r="I455" s="25"/>
    </row>
    <row r="456" spans="1:9" ht="33">
      <c r="A456" s="10">
        <v>1130</v>
      </c>
      <c r="B456" s="4">
        <v>11003</v>
      </c>
      <c r="C456" s="40" t="s">
        <v>526</v>
      </c>
      <c r="D456" s="179">
        <v>2228.42</v>
      </c>
      <c r="E456" s="179">
        <v>0</v>
      </c>
      <c r="F456" s="179">
        <v>0</v>
      </c>
      <c r="G456" s="179">
        <v>0</v>
      </c>
      <c r="H456" s="194">
        <v>0</v>
      </c>
      <c r="I456" s="25"/>
    </row>
    <row r="457" spans="1:9" ht="132">
      <c r="A457" s="10">
        <v>1130</v>
      </c>
      <c r="B457" s="4">
        <v>11004</v>
      </c>
      <c r="C457" s="40" t="s">
        <v>527</v>
      </c>
      <c r="D457" s="179">
        <v>1903.75</v>
      </c>
      <c r="E457" s="179">
        <v>0</v>
      </c>
      <c r="F457" s="179">
        <v>0</v>
      </c>
      <c r="G457" s="179">
        <v>0</v>
      </c>
      <c r="H457" s="194">
        <v>0</v>
      </c>
      <c r="I457" s="25"/>
    </row>
    <row r="458" spans="1:9" ht="148.5">
      <c r="A458" s="10">
        <v>1130</v>
      </c>
      <c r="B458" s="4">
        <v>11005</v>
      </c>
      <c r="C458" s="40" t="s">
        <v>528</v>
      </c>
      <c r="D458" s="179">
        <v>5512.41</v>
      </c>
      <c r="E458" s="179">
        <v>0</v>
      </c>
      <c r="F458" s="179">
        <v>0</v>
      </c>
      <c r="G458" s="179">
        <v>0</v>
      </c>
      <c r="H458" s="194">
        <v>0</v>
      </c>
      <c r="I458" s="25"/>
    </row>
    <row r="459" spans="1:9">
      <c r="A459" s="32">
        <v>1146</v>
      </c>
      <c r="B459" s="281"/>
      <c r="C459" s="234" t="s">
        <v>529</v>
      </c>
      <c r="D459" s="196">
        <f>SUM(D460:D495)</f>
        <v>111909053.30000001</v>
      </c>
      <c r="E459" s="196">
        <f>SUM(E460:E495)</f>
        <v>121906037.19999997</v>
      </c>
      <c r="F459" s="196">
        <f>SUM(F460:F495)</f>
        <v>127989928.38390788</v>
      </c>
      <c r="G459" s="196">
        <f>SUM(G460:G495)</f>
        <v>128005487.74456385</v>
      </c>
      <c r="H459" s="197">
        <f>SUM(H460:H495)</f>
        <v>128008817.74456385</v>
      </c>
      <c r="I459" s="131"/>
    </row>
    <row r="460" spans="1:9" ht="33">
      <c r="A460" s="10">
        <v>1146</v>
      </c>
      <c r="B460" s="4">
        <v>11001</v>
      </c>
      <c r="C460" s="40" t="s">
        <v>530</v>
      </c>
      <c r="D460" s="179">
        <v>37398127.280000001</v>
      </c>
      <c r="E460" s="179">
        <v>38029911.399999999</v>
      </c>
      <c r="F460" s="172">
        <v>41211223.594762698</v>
      </c>
      <c r="G460" s="172">
        <v>41301736.475015506</v>
      </c>
      <c r="H460" s="191">
        <v>41301736.475015506</v>
      </c>
      <c r="I460" s="25"/>
    </row>
    <row r="461" spans="1:9" ht="33">
      <c r="A461" s="10">
        <v>1146</v>
      </c>
      <c r="B461" s="4">
        <v>11002</v>
      </c>
      <c r="C461" s="40" t="s">
        <v>531</v>
      </c>
      <c r="D461" s="179">
        <v>44682125.800000004</v>
      </c>
      <c r="E461" s="179">
        <v>46962054.100000001</v>
      </c>
      <c r="F461" s="172">
        <v>48276891.96695292</v>
      </c>
      <c r="G461" s="172">
        <v>48229831.426244363</v>
      </c>
      <c r="H461" s="191">
        <v>48229831.426244363</v>
      </c>
      <c r="I461" s="25"/>
    </row>
    <row r="462" spans="1:9" ht="33">
      <c r="A462" s="10">
        <v>1146</v>
      </c>
      <c r="B462" s="4">
        <v>11003</v>
      </c>
      <c r="C462" s="40" t="s">
        <v>532</v>
      </c>
      <c r="D462" s="179">
        <v>18345654.649999999</v>
      </c>
      <c r="E462" s="179">
        <v>21941370.800000001</v>
      </c>
      <c r="F462" s="172">
        <v>23527614.835417695</v>
      </c>
      <c r="G462" s="172">
        <v>23938711.758436035</v>
      </c>
      <c r="H462" s="191">
        <v>23938711.758436035</v>
      </c>
      <c r="I462" s="25"/>
    </row>
    <row r="463" spans="1:9">
      <c r="A463" s="10">
        <v>1146</v>
      </c>
      <c r="B463" s="4">
        <v>11004</v>
      </c>
      <c r="C463" s="40" t="s">
        <v>533</v>
      </c>
      <c r="D463" s="179">
        <v>327358</v>
      </c>
      <c r="E463" s="179">
        <v>370307.9</v>
      </c>
      <c r="F463" s="172">
        <v>369431.3600629805</v>
      </c>
      <c r="G463" s="172">
        <v>380400.02235886425</v>
      </c>
      <c r="H463" s="191">
        <v>380400.02235886425</v>
      </c>
      <c r="I463" s="25"/>
    </row>
    <row r="464" spans="1:9">
      <c r="A464" s="10">
        <v>1146</v>
      </c>
      <c r="B464" s="4">
        <v>11005</v>
      </c>
      <c r="C464" s="40" t="s">
        <v>534</v>
      </c>
      <c r="D464" s="179">
        <v>535491.80000000005</v>
      </c>
      <c r="E464" s="179">
        <v>503618.8</v>
      </c>
      <c r="F464" s="172">
        <v>483102.54777466675</v>
      </c>
      <c r="G464" s="172">
        <v>470745.0276690945</v>
      </c>
      <c r="H464" s="191">
        <v>470745.0276690945</v>
      </c>
      <c r="I464" s="25"/>
    </row>
    <row r="465" spans="1:9">
      <c r="A465" s="10">
        <v>1146</v>
      </c>
      <c r="B465" s="4">
        <v>11006</v>
      </c>
      <c r="C465" s="40" t="s">
        <v>535</v>
      </c>
      <c r="D465" s="179">
        <v>359896</v>
      </c>
      <c r="E465" s="179">
        <v>355495.6</v>
      </c>
      <c r="F465" s="172">
        <v>355222.46159901965</v>
      </c>
      <c r="G465" s="172">
        <v>356625.02096143522</v>
      </c>
      <c r="H465" s="191">
        <v>356625.02096143522</v>
      </c>
      <c r="I465" s="25"/>
    </row>
    <row r="466" spans="1:9" ht="33">
      <c r="A466" s="10">
        <v>1146</v>
      </c>
      <c r="B466" s="4">
        <v>11010</v>
      </c>
      <c r="C466" s="40" t="s">
        <v>536</v>
      </c>
      <c r="D466" s="179">
        <v>252514.5</v>
      </c>
      <c r="E466" s="179">
        <v>216037</v>
      </c>
      <c r="F466" s="172">
        <v>355222.46159901965</v>
      </c>
      <c r="G466" s="172">
        <v>356625.02096143522</v>
      </c>
      <c r="H466" s="191">
        <v>356625.02096143522</v>
      </c>
      <c r="I466" s="25"/>
    </row>
    <row r="467" spans="1:9" ht="33">
      <c r="A467" s="10">
        <v>1146</v>
      </c>
      <c r="B467" s="4">
        <v>11011</v>
      </c>
      <c r="C467" s="40" t="s">
        <v>537</v>
      </c>
      <c r="D467" s="179">
        <v>1655329.9</v>
      </c>
      <c r="E467" s="179">
        <v>1670686.8</v>
      </c>
      <c r="F467" s="172">
        <v>1803439.2684235722</v>
      </c>
      <c r="G467" s="172">
        <v>1775035.3818572683</v>
      </c>
      <c r="H467" s="191">
        <v>1775035.3818572683</v>
      </c>
      <c r="I467" s="25"/>
    </row>
    <row r="468" spans="1:9" ht="33">
      <c r="A468" s="10">
        <v>1146</v>
      </c>
      <c r="B468" s="4">
        <v>11012</v>
      </c>
      <c r="C468" s="40" t="s">
        <v>538</v>
      </c>
      <c r="D468" s="179">
        <v>1746005.52</v>
      </c>
      <c r="E468" s="179">
        <v>2149726.5</v>
      </c>
      <c r="F468" s="172">
        <v>2318858.2313152878</v>
      </c>
      <c r="G468" s="172">
        <v>2411156.1250598575</v>
      </c>
      <c r="H468" s="191">
        <v>2411156.1250598575</v>
      </c>
      <c r="I468" s="25"/>
    </row>
    <row r="469" spans="1:9">
      <c r="A469" s="10">
        <v>1146</v>
      </c>
      <c r="B469" s="282">
        <v>11013</v>
      </c>
      <c r="C469" s="233" t="s">
        <v>539</v>
      </c>
      <c r="D469" s="175">
        <v>786434.60000000009</v>
      </c>
      <c r="E469" s="175">
        <v>0</v>
      </c>
      <c r="F469" s="172">
        <v>0</v>
      </c>
      <c r="G469" s="172">
        <v>0</v>
      </c>
      <c r="H469" s="191">
        <v>0</v>
      </c>
      <c r="I469" s="25"/>
    </row>
    <row r="470" spans="1:9" ht="49.5">
      <c r="A470" s="10">
        <v>1146</v>
      </c>
      <c r="B470" s="4">
        <v>11014</v>
      </c>
      <c r="C470" s="40" t="s">
        <v>540</v>
      </c>
      <c r="D470" s="179">
        <v>126383.6</v>
      </c>
      <c r="E470" s="179">
        <v>126383.6</v>
      </c>
      <c r="F470" s="179">
        <v>126383.6</v>
      </c>
      <c r="G470" s="179">
        <v>126383.6</v>
      </c>
      <c r="H470" s="194">
        <v>126383.6</v>
      </c>
      <c r="I470" s="25" t="s">
        <v>541</v>
      </c>
    </row>
    <row r="471" spans="1:9" ht="49.5">
      <c r="A471" s="10">
        <v>1146</v>
      </c>
      <c r="B471" s="4">
        <v>11015</v>
      </c>
      <c r="C471" s="40" t="s">
        <v>542</v>
      </c>
      <c r="D471" s="179">
        <v>56000</v>
      </c>
      <c r="E471" s="179">
        <v>58000</v>
      </c>
      <c r="F471" s="172">
        <v>61900</v>
      </c>
      <c r="G471" s="172">
        <v>61900</v>
      </c>
      <c r="H471" s="194">
        <v>61900</v>
      </c>
      <c r="I471" s="25" t="s">
        <v>543</v>
      </c>
    </row>
    <row r="472" spans="1:9" ht="82.5">
      <c r="A472" s="10">
        <v>1146</v>
      </c>
      <c r="B472" s="4">
        <v>11016</v>
      </c>
      <c r="C472" s="40" t="s">
        <v>544</v>
      </c>
      <c r="D472" s="179">
        <v>1168267.0900000001</v>
      </c>
      <c r="E472" s="179">
        <v>2310334.7999999998</v>
      </c>
      <c r="F472" s="172">
        <v>1640997.08</v>
      </c>
      <c r="G472" s="172">
        <v>1136301.6100000001</v>
      </c>
      <c r="H472" s="194">
        <v>1136301.6100000001</v>
      </c>
      <c r="I472" s="25" t="s">
        <v>545</v>
      </c>
    </row>
    <row r="473" spans="1:9" ht="49.5">
      <c r="A473" s="10">
        <v>1146</v>
      </c>
      <c r="B473" s="4">
        <v>11017</v>
      </c>
      <c r="C473" s="40" t="s">
        <v>546</v>
      </c>
      <c r="D473" s="179">
        <v>31905.760000000002</v>
      </c>
      <c r="E473" s="179">
        <v>23866.400000000001</v>
      </c>
      <c r="F473" s="172">
        <v>38407.495999999999</v>
      </c>
      <c r="G473" s="172">
        <v>38407.495999999999</v>
      </c>
      <c r="H473" s="191">
        <v>38407.495999999999</v>
      </c>
      <c r="I473" s="25"/>
    </row>
    <row r="474" spans="1:9" ht="49.5">
      <c r="A474" s="10">
        <v>1146</v>
      </c>
      <c r="B474" s="4">
        <v>11018</v>
      </c>
      <c r="C474" s="40" t="s">
        <v>547</v>
      </c>
      <c r="D474" s="179">
        <v>858636.9</v>
      </c>
      <c r="E474" s="179">
        <v>858636.9</v>
      </c>
      <c r="F474" s="172">
        <v>858636.9</v>
      </c>
      <c r="G474" s="172">
        <v>858636.9</v>
      </c>
      <c r="H474" s="191">
        <v>858636.9</v>
      </c>
      <c r="I474" s="25"/>
    </row>
    <row r="475" spans="1:9" ht="49.5">
      <c r="A475" s="10">
        <v>1146</v>
      </c>
      <c r="B475" s="4">
        <v>11019</v>
      </c>
      <c r="C475" s="40" t="s">
        <v>548</v>
      </c>
      <c r="D475" s="179">
        <v>7701.3</v>
      </c>
      <c r="E475" s="179">
        <v>0</v>
      </c>
      <c r="F475" s="172">
        <v>0</v>
      </c>
      <c r="G475" s="172">
        <v>0</v>
      </c>
      <c r="H475" s="194">
        <v>0</v>
      </c>
      <c r="I475" s="25"/>
    </row>
    <row r="476" spans="1:9" ht="33">
      <c r="A476" s="10">
        <v>1146</v>
      </c>
      <c r="B476" s="4">
        <v>11020</v>
      </c>
      <c r="C476" s="40" t="s">
        <v>549</v>
      </c>
      <c r="D476" s="179">
        <v>14592.4</v>
      </c>
      <c r="E476" s="179">
        <v>0</v>
      </c>
      <c r="F476" s="172">
        <v>0</v>
      </c>
      <c r="G476" s="172">
        <v>0</v>
      </c>
      <c r="H476" s="194">
        <v>0</v>
      </c>
      <c r="I476" s="25"/>
    </row>
    <row r="477" spans="1:9" ht="33">
      <c r="A477" s="10">
        <v>1146</v>
      </c>
      <c r="B477" s="4">
        <v>11021</v>
      </c>
      <c r="C477" s="40" t="s">
        <v>550</v>
      </c>
      <c r="D477" s="179">
        <v>0</v>
      </c>
      <c r="E477" s="179">
        <v>0</v>
      </c>
      <c r="F477" s="172">
        <v>0</v>
      </c>
      <c r="G477" s="172">
        <v>0</v>
      </c>
      <c r="H477" s="194">
        <v>0</v>
      </c>
      <c r="I477" s="25"/>
    </row>
    <row r="478" spans="1:9" ht="33">
      <c r="A478" s="10">
        <v>1146</v>
      </c>
      <c r="B478" s="4">
        <v>11025</v>
      </c>
      <c r="C478" s="40" t="s">
        <v>551</v>
      </c>
      <c r="D478" s="179">
        <v>616823.5</v>
      </c>
      <c r="E478" s="179">
        <v>669796.1</v>
      </c>
      <c r="F478" s="179">
        <v>669796.1</v>
      </c>
      <c r="G478" s="179">
        <v>669796.1</v>
      </c>
      <c r="H478" s="194">
        <v>669796.1</v>
      </c>
      <c r="I478" s="25"/>
    </row>
    <row r="479" spans="1:9" ht="198">
      <c r="A479" s="10">
        <v>1146</v>
      </c>
      <c r="B479" s="4">
        <v>11026</v>
      </c>
      <c r="C479" s="40" t="s">
        <v>552</v>
      </c>
      <c r="D479" s="179">
        <v>102367.6</v>
      </c>
      <c r="E479" s="179">
        <v>116713.1</v>
      </c>
      <c r="F479" s="172">
        <v>150000</v>
      </c>
      <c r="G479" s="172">
        <v>150000</v>
      </c>
      <c r="H479" s="191">
        <v>150000</v>
      </c>
      <c r="I479" s="25" t="s">
        <v>553</v>
      </c>
    </row>
    <row r="480" spans="1:9" ht="82.5">
      <c r="A480" s="10">
        <v>1146</v>
      </c>
      <c r="B480" s="4">
        <v>11027</v>
      </c>
      <c r="C480" s="40" t="s">
        <v>554</v>
      </c>
      <c r="D480" s="179">
        <v>15045</v>
      </c>
      <c r="E480" s="179">
        <v>15045</v>
      </c>
      <c r="F480" s="172">
        <v>27000</v>
      </c>
      <c r="G480" s="172">
        <v>27000</v>
      </c>
      <c r="H480" s="191">
        <v>30330</v>
      </c>
      <c r="I480" s="25" t="s">
        <v>555</v>
      </c>
    </row>
    <row r="481" spans="1:9" ht="99">
      <c r="A481" s="10">
        <v>1146</v>
      </c>
      <c r="B481" s="4">
        <v>11029</v>
      </c>
      <c r="C481" s="40" t="s">
        <v>556</v>
      </c>
      <c r="D481" s="179">
        <v>4176</v>
      </c>
      <c r="E481" s="179">
        <v>0</v>
      </c>
      <c r="F481" s="172">
        <v>0</v>
      </c>
      <c r="G481" s="172">
        <v>0</v>
      </c>
      <c r="H481" s="191">
        <v>0</v>
      </c>
      <c r="I481" s="25"/>
    </row>
    <row r="482" spans="1:9" ht="66">
      <c r="A482" s="10">
        <v>1146</v>
      </c>
      <c r="B482" s="4">
        <v>11030</v>
      </c>
      <c r="C482" s="40" t="s">
        <v>557</v>
      </c>
      <c r="D482" s="179">
        <v>4500</v>
      </c>
      <c r="E482" s="179">
        <v>0</v>
      </c>
      <c r="F482" s="172">
        <v>0</v>
      </c>
      <c r="G482" s="172">
        <v>0</v>
      </c>
      <c r="H482" s="191">
        <v>0</v>
      </c>
      <c r="I482" s="25"/>
    </row>
    <row r="483" spans="1:9" ht="49.5">
      <c r="A483" s="10">
        <v>1146</v>
      </c>
      <c r="B483" s="4">
        <v>12001</v>
      </c>
      <c r="C483" s="40" t="s">
        <v>558</v>
      </c>
      <c r="D483" s="179">
        <v>12313.78</v>
      </c>
      <c r="E483" s="179">
        <v>6275.6</v>
      </c>
      <c r="F483" s="172">
        <v>54879.199999999997</v>
      </c>
      <c r="G483" s="172">
        <v>54879.199999999997</v>
      </c>
      <c r="H483" s="191">
        <v>54879.199999999997</v>
      </c>
      <c r="I483" s="25"/>
    </row>
    <row r="484" spans="1:9" ht="66">
      <c r="A484" s="10">
        <v>1146</v>
      </c>
      <c r="B484" s="4">
        <v>12002</v>
      </c>
      <c r="C484" s="40" t="s">
        <v>559</v>
      </c>
      <c r="D484" s="179">
        <v>521738.94000000006</v>
      </c>
      <c r="E484" s="179">
        <v>523316</v>
      </c>
      <c r="F484" s="172">
        <v>523316</v>
      </c>
      <c r="G484" s="172">
        <v>523315.99999999994</v>
      </c>
      <c r="H484" s="191">
        <v>523316</v>
      </c>
      <c r="I484" s="25"/>
    </row>
    <row r="485" spans="1:9" ht="66">
      <c r="A485" s="10">
        <v>1146</v>
      </c>
      <c r="B485" s="4">
        <v>12003</v>
      </c>
      <c r="C485" s="40" t="s">
        <v>560</v>
      </c>
      <c r="D485" s="179">
        <v>29690.74</v>
      </c>
      <c r="E485" s="179">
        <v>33580.800000000003</v>
      </c>
      <c r="F485" s="172">
        <v>39512</v>
      </c>
      <c r="G485" s="172">
        <v>39907.300000000003</v>
      </c>
      <c r="H485" s="191">
        <v>39907.300000000003</v>
      </c>
      <c r="I485" s="25"/>
    </row>
    <row r="486" spans="1:9" ht="82.5">
      <c r="A486" s="10">
        <v>1146</v>
      </c>
      <c r="B486" s="4">
        <v>12004</v>
      </c>
      <c r="C486" s="40" t="s">
        <v>561</v>
      </c>
      <c r="D486" s="179">
        <v>305087.09000000003</v>
      </c>
      <c r="E486" s="179">
        <v>368073.5</v>
      </c>
      <c r="F486" s="172">
        <v>385330.7</v>
      </c>
      <c r="G486" s="172">
        <v>385330.7</v>
      </c>
      <c r="H486" s="191">
        <v>385330.7</v>
      </c>
      <c r="I486" s="25"/>
    </row>
    <row r="487" spans="1:9" ht="66">
      <c r="A487" s="10">
        <v>1146</v>
      </c>
      <c r="B487" s="4">
        <v>12008</v>
      </c>
      <c r="C487" s="40" t="s">
        <v>562</v>
      </c>
      <c r="D487" s="179">
        <v>19423.11</v>
      </c>
      <c r="E487" s="179">
        <v>0</v>
      </c>
      <c r="F487" s="172">
        <v>0</v>
      </c>
      <c r="G487" s="172">
        <v>0</v>
      </c>
      <c r="H487" s="191">
        <v>0</v>
      </c>
      <c r="I487" s="25"/>
    </row>
    <row r="488" spans="1:9" ht="66">
      <c r="A488" s="10">
        <v>1146</v>
      </c>
      <c r="B488" s="4">
        <v>12009</v>
      </c>
      <c r="C488" s="40" t="s">
        <v>563</v>
      </c>
      <c r="D488" s="179">
        <v>42030</v>
      </c>
      <c r="E488" s="179">
        <v>42510</v>
      </c>
      <c r="F488" s="172">
        <v>46740</v>
      </c>
      <c r="G488" s="172">
        <v>46740</v>
      </c>
      <c r="H488" s="191">
        <v>46740</v>
      </c>
      <c r="I488" s="25" t="s">
        <v>564</v>
      </c>
    </row>
    <row r="489" spans="1:9" ht="66">
      <c r="A489" s="10">
        <v>1146</v>
      </c>
      <c r="B489" s="4">
        <v>12012</v>
      </c>
      <c r="C489" s="40" t="s">
        <v>565</v>
      </c>
      <c r="D489" s="179">
        <v>11000</v>
      </c>
      <c r="E489" s="179">
        <v>11000</v>
      </c>
      <c r="F489" s="172">
        <v>11000</v>
      </c>
      <c r="G489" s="172">
        <v>11000</v>
      </c>
      <c r="H489" s="191">
        <v>11000</v>
      </c>
      <c r="I489" s="25"/>
    </row>
    <row r="490" spans="1:9" ht="66">
      <c r="A490" s="10">
        <v>1146</v>
      </c>
      <c r="B490" s="282">
        <v>12013</v>
      </c>
      <c r="C490" s="233" t="s">
        <v>566</v>
      </c>
      <c r="D490" s="179">
        <v>783211.06</v>
      </c>
      <c r="E490" s="179">
        <v>0</v>
      </c>
      <c r="F490" s="172">
        <v>0</v>
      </c>
      <c r="G490" s="172">
        <v>0</v>
      </c>
      <c r="H490" s="191">
        <v>0</v>
      </c>
      <c r="I490" s="25"/>
    </row>
    <row r="491" spans="1:9" ht="115.5">
      <c r="A491" s="10">
        <v>1146</v>
      </c>
      <c r="B491" s="4">
        <v>12015</v>
      </c>
      <c r="C491" s="40" t="s">
        <v>567</v>
      </c>
      <c r="D491" s="179">
        <v>615942.57999999996</v>
      </c>
      <c r="E491" s="179">
        <v>1745702.7</v>
      </c>
      <c r="F491" s="179">
        <v>1745702.7</v>
      </c>
      <c r="G491" s="179">
        <v>1745702.7</v>
      </c>
      <c r="H491" s="194">
        <v>1745702.7</v>
      </c>
      <c r="I491" s="25" t="s">
        <v>541</v>
      </c>
    </row>
    <row r="492" spans="1:9" ht="82.5">
      <c r="A492" s="10">
        <v>1146</v>
      </c>
      <c r="B492" s="4">
        <v>12016</v>
      </c>
      <c r="C492" s="40" t="s">
        <v>568</v>
      </c>
      <c r="D492" s="179">
        <v>473278.8</v>
      </c>
      <c r="E492" s="179">
        <v>2461500</v>
      </c>
      <c r="F492" s="179">
        <v>2461500</v>
      </c>
      <c r="G492" s="179">
        <v>2461500</v>
      </c>
      <c r="H492" s="194">
        <v>2461500</v>
      </c>
      <c r="I492" s="25" t="s">
        <v>541</v>
      </c>
    </row>
    <row r="493" spans="1:9" ht="82.5">
      <c r="A493" s="10">
        <v>1146</v>
      </c>
      <c r="B493" s="4">
        <v>12017</v>
      </c>
      <c r="C493" s="40" t="s">
        <v>569</v>
      </c>
      <c r="D493" s="179">
        <v>0</v>
      </c>
      <c r="E493" s="179">
        <v>27093.8</v>
      </c>
      <c r="F493" s="193">
        <v>29019.88</v>
      </c>
      <c r="G493" s="193">
        <v>29019.88</v>
      </c>
      <c r="H493" s="192">
        <v>29019.88</v>
      </c>
      <c r="I493" s="25"/>
    </row>
    <row r="494" spans="1:9" ht="49.5">
      <c r="A494" s="10">
        <v>1146</v>
      </c>
      <c r="B494" s="282" t="s">
        <v>570</v>
      </c>
      <c r="C494" s="233" t="s">
        <v>571</v>
      </c>
      <c r="D494" s="179">
        <v>0</v>
      </c>
      <c r="E494" s="179">
        <v>309000</v>
      </c>
      <c r="F494" s="179">
        <v>309000</v>
      </c>
      <c r="G494" s="179">
        <v>309000</v>
      </c>
      <c r="H494" s="179">
        <v>309000</v>
      </c>
      <c r="I494" s="25"/>
    </row>
    <row r="495" spans="1:9" ht="51.75">
      <c r="A495" s="10">
        <v>1146</v>
      </c>
      <c r="B495" s="282" t="s">
        <v>413</v>
      </c>
      <c r="C495" s="79" t="s">
        <v>572</v>
      </c>
      <c r="D495" s="179">
        <v>0</v>
      </c>
      <c r="E495" s="179">
        <v>0</v>
      </c>
      <c r="F495" s="172">
        <v>109800</v>
      </c>
      <c r="G495" s="172">
        <v>109800</v>
      </c>
      <c r="H495" s="191">
        <v>109800</v>
      </c>
      <c r="I495" s="25"/>
    </row>
    <row r="496" spans="1:9">
      <c r="A496" s="32">
        <v>1148</v>
      </c>
      <c r="B496" s="654" t="s">
        <v>573</v>
      </c>
      <c r="C496" s="655"/>
      <c r="D496" s="178">
        <f>SUM(D497:D508)</f>
        <v>4235585.2699999986</v>
      </c>
      <c r="E496" s="178">
        <f>SUM(E497:E508)</f>
        <v>4268638.5</v>
      </c>
      <c r="F496" s="178">
        <f>SUM(F497:F508)</f>
        <v>8024723.6900000004</v>
      </c>
      <c r="G496" s="178">
        <f>SUM(G497:G508)</f>
        <v>8874469.7899999991</v>
      </c>
      <c r="H496" s="195">
        <f>SUM(H497:H508)</f>
        <v>9812120.7899999991</v>
      </c>
      <c r="I496" s="131"/>
    </row>
    <row r="497" spans="1:9" ht="33" customHeight="1">
      <c r="A497" s="10">
        <v>1148</v>
      </c>
      <c r="B497" s="4">
        <v>11001</v>
      </c>
      <c r="C497" s="40" t="s">
        <v>574</v>
      </c>
      <c r="D497" s="179">
        <v>2712697.0699999994</v>
      </c>
      <c r="E497" s="179">
        <v>2807316</v>
      </c>
      <c r="F497" s="179">
        <v>2807316</v>
      </c>
      <c r="G497" s="179">
        <v>2807316</v>
      </c>
      <c r="H497" s="194">
        <v>2807316</v>
      </c>
      <c r="I497" s="25"/>
    </row>
    <row r="498" spans="1:9" ht="49.5">
      <c r="A498" s="10">
        <v>1148</v>
      </c>
      <c r="B498" s="4">
        <v>11005</v>
      </c>
      <c r="C498" s="40" t="s">
        <v>575</v>
      </c>
      <c r="D498" s="179">
        <v>393910.5</v>
      </c>
      <c r="E498" s="179">
        <v>390758.40000000002</v>
      </c>
      <c r="F498" s="179">
        <v>390758.40000000002</v>
      </c>
      <c r="G498" s="179">
        <v>390758.40000000002</v>
      </c>
      <c r="H498" s="194">
        <v>390758.40000000002</v>
      </c>
      <c r="I498" s="25"/>
    </row>
    <row r="499" spans="1:9" ht="49.5">
      <c r="A499" s="10">
        <v>1148</v>
      </c>
      <c r="B499" s="4">
        <v>11006</v>
      </c>
      <c r="C499" s="40" t="s">
        <v>576</v>
      </c>
      <c r="D499" s="179">
        <v>797548.58000000007</v>
      </c>
      <c r="E499" s="179">
        <v>768912.9</v>
      </c>
      <c r="F499" s="172">
        <v>797548.58000000007</v>
      </c>
      <c r="G499" s="172">
        <v>797548.58000000007</v>
      </c>
      <c r="H499" s="191">
        <v>797548.58000000007</v>
      </c>
      <c r="I499" s="25"/>
    </row>
    <row r="500" spans="1:9" ht="33">
      <c r="A500" s="10">
        <v>1148</v>
      </c>
      <c r="B500" s="4">
        <v>11007</v>
      </c>
      <c r="C500" s="40" t="s">
        <v>577</v>
      </c>
      <c r="D500" s="179">
        <v>0</v>
      </c>
      <c r="E500" s="179">
        <v>8103.4</v>
      </c>
      <c r="F500" s="172">
        <v>8103.4</v>
      </c>
      <c r="G500" s="172">
        <v>8103.4</v>
      </c>
      <c r="H500" s="191">
        <v>8103.4</v>
      </c>
      <c r="I500" s="25"/>
    </row>
    <row r="501" spans="1:9" ht="49.5">
      <c r="A501" s="10">
        <v>1148</v>
      </c>
      <c r="B501" s="4">
        <v>11008</v>
      </c>
      <c r="C501" s="40" t="s">
        <v>578</v>
      </c>
      <c r="D501" s="179">
        <v>6793</v>
      </c>
      <c r="E501" s="179">
        <v>6793</v>
      </c>
      <c r="F501" s="172">
        <v>7547.8</v>
      </c>
      <c r="G501" s="172">
        <v>7547.8</v>
      </c>
      <c r="H501" s="191">
        <v>7547.8</v>
      </c>
      <c r="I501" s="25"/>
    </row>
    <row r="502" spans="1:9">
      <c r="A502" s="10">
        <v>1148</v>
      </c>
      <c r="B502" s="4">
        <v>11012</v>
      </c>
      <c r="C502" s="40" t="s">
        <v>579</v>
      </c>
      <c r="D502" s="179">
        <v>70611</v>
      </c>
      <c r="E502" s="179">
        <v>0</v>
      </c>
      <c r="F502" s="172">
        <v>0</v>
      </c>
      <c r="G502" s="172">
        <v>0</v>
      </c>
      <c r="H502" s="191">
        <v>0</v>
      </c>
      <c r="I502" s="25"/>
    </row>
    <row r="503" spans="1:9">
      <c r="A503" s="10">
        <v>1148</v>
      </c>
      <c r="B503" s="4">
        <v>11013</v>
      </c>
      <c r="C503" s="40" t="s">
        <v>580</v>
      </c>
      <c r="D503" s="179">
        <v>32494.400000000001</v>
      </c>
      <c r="E503" s="179">
        <v>0</v>
      </c>
      <c r="F503" s="172">
        <v>0</v>
      </c>
      <c r="G503" s="172">
        <v>0</v>
      </c>
      <c r="H503" s="191">
        <v>0</v>
      </c>
      <c r="I503" s="25"/>
    </row>
    <row r="504" spans="1:9" ht="82.5">
      <c r="A504" s="10">
        <v>1148</v>
      </c>
      <c r="B504" s="4">
        <v>11014</v>
      </c>
      <c r="C504" s="40" t="s">
        <v>581</v>
      </c>
      <c r="D504" s="179">
        <v>29589.86</v>
      </c>
      <c r="E504" s="179">
        <v>29901.1</v>
      </c>
      <c r="F504" s="172">
        <v>29901.1</v>
      </c>
      <c r="G504" s="172">
        <v>29901.1</v>
      </c>
      <c r="H504" s="191">
        <v>29901.1</v>
      </c>
      <c r="I504" s="25"/>
    </row>
    <row r="505" spans="1:9" ht="49.5">
      <c r="A505" s="10">
        <v>1148</v>
      </c>
      <c r="B505" s="4">
        <v>11015</v>
      </c>
      <c r="C505" s="40" t="s">
        <v>582</v>
      </c>
      <c r="D505" s="179">
        <v>15653.26</v>
      </c>
      <c r="E505" s="179">
        <v>16039.5</v>
      </c>
      <c r="F505" s="172">
        <v>70865.210000000006</v>
      </c>
      <c r="G505" s="172">
        <v>70865.210000000006</v>
      </c>
      <c r="H505" s="191">
        <v>70865.210000000006</v>
      </c>
      <c r="I505" s="25" t="s">
        <v>583</v>
      </c>
    </row>
    <row r="506" spans="1:9" ht="99">
      <c r="A506" s="10">
        <v>1148</v>
      </c>
      <c r="B506" s="4">
        <v>11016</v>
      </c>
      <c r="C506" s="40" t="s">
        <v>584</v>
      </c>
      <c r="D506" s="179">
        <v>93570.3</v>
      </c>
      <c r="E506" s="179">
        <v>107957.9</v>
      </c>
      <c r="F506" s="172">
        <v>2271794</v>
      </c>
      <c r="G506" s="172">
        <v>2271794</v>
      </c>
      <c r="H506" s="172">
        <v>2271794</v>
      </c>
      <c r="I506" s="25" t="s">
        <v>583</v>
      </c>
    </row>
    <row r="507" spans="1:9" ht="33">
      <c r="A507" s="10">
        <v>1148</v>
      </c>
      <c r="B507" s="4">
        <v>12001</v>
      </c>
      <c r="C507" s="40" t="s">
        <v>585</v>
      </c>
      <c r="D507" s="179">
        <v>55863</v>
      </c>
      <c r="E507" s="179">
        <v>0</v>
      </c>
      <c r="F507" s="172">
        <v>0</v>
      </c>
      <c r="G507" s="172">
        <v>0</v>
      </c>
      <c r="H507" s="191">
        <v>0</v>
      </c>
      <c r="I507" s="25"/>
    </row>
    <row r="508" spans="1:9" ht="99">
      <c r="A508" s="10">
        <v>1148</v>
      </c>
      <c r="B508" s="4">
        <v>12002</v>
      </c>
      <c r="C508" s="40" t="s">
        <v>586</v>
      </c>
      <c r="D508" s="179">
        <v>26854.299999999996</v>
      </c>
      <c r="E508" s="179">
        <v>132856.29999999999</v>
      </c>
      <c r="F508" s="172">
        <v>1640889.2</v>
      </c>
      <c r="G508" s="172">
        <v>2490635.2999999998</v>
      </c>
      <c r="H508" s="191">
        <v>3428286.3</v>
      </c>
      <c r="I508" s="25" t="s">
        <v>583</v>
      </c>
    </row>
    <row r="509" spans="1:9">
      <c r="A509" s="32">
        <v>1162</v>
      </c>
      <c r="B509" s="654" t="s">
        <v>587</v>
      </c>
      <c r="C509" s="655"/>
      <c r="D509" s="178">
        <f>SUM(D510:D523)</f>
        <v>21712250.039999999</v>
      </c>
      <c r="E509" s="178">
        <f>SUM(E510:E523)</f>
        <v>27197457.600000001</v>
      </c>
      <c r="F509" s="178">
        <f>SUM(F510:F523)</f>
        <v>48864775.240000002</v>
      </c>
      <c r="G509" s="178">
        <f>SUM(G510:G523)</f>
        <v>59032850.040000007</v>
      </c>
      <c r="H509" s="195">
        <f>SUM(H510:H523)</f>
        <v>64506812.07</v>
      </c>
      <c r="I509" s="131"/>
    </row>
    <row r="510" spans="1:9" ht="66" customHeight="1">
      <c r="A510" s="10">
        <v>1162</v>
      </c>
      <c r="B510" s="4">
        <v>11001</v>
      </c>
      <c r="C510" s="40" t="s">
        <v>588</v>
      </c>
      <c r="D510" s="179">
        <v>262030.09</v>
      </c>
      <c r="E510" s="179">
        <v>409045.2</v>
      </c>
      <c r="F510" s="172">
        <v>429497.5</v>
      </c>
      <c r="G510" s="172">
        <v>450972.3</v>
      </c>
      <c r="H510" s="191">
        <v>473520.9</v>
      </c>
      <c r="I510" s="25"/>
    </row>
    <row r="511" spans="1:9" ht="33">
      <c r="A511" s="10">
        <v>1162</v>
      </c>
      <c r="B511" s="4">
        <v>11002</v>
      </c>
      <c r="C511" s="40" t="s">
        <v>589</v>
      </c>
      <c r="D511" s="179">
        <v>11988343.699999999</v>
      </c>
      <c r="E511" s="179">
        <v>13788315.699999999</v>
      </c>
      <c r="F511" s="172">
        <v>29755412.300000001</v>
      </c>
      <c r="G511" s="172">
        <v>33384412.300000001</v>
      </c>
      <c r="H511" s="191">
        <v>36722853.530000001</v>
      </c>
      <c r="I511" s="25"/>
    </row>
    <row r="512" spans="1:9" ht="33">
      <c r="A512" s="10">
        <v>1162</v>
      </c>
      <c r="B512" s="4">
        <v>11004</v>
      </c>
      <c r="C512" s="40" t="s">
        <v>590</v>
      </c>
      <c r="D512" s="179">
        <v>915193.5</v>
      </c>
      <c r="E512" s="179">
        <v>940304.1</v>
      </c>
      <c r="F512" s="172">
        <v>962891.34</v>
      </c>
      <c r="G512" s="172">
        <v>962891.34</v>
      </c>
      <c r="H512" s="191">
        <v>962891.34</v>
      </c>
      <c r="I512" s="25"/>
    </row>
    <row r="513" spans="1:9" ht="49.5">
      <c r="A513" s="10">
        <v>1162</v>
      </c>
      <c r="B513" s="4">
        <v>11005</v>
      </c>
      <c r="C513" s="40" t="s">
        <v>591</v>
      </c>
      <c r="D513" s="179">
        <v>5992364.4500000002</v>
      </c>
      <c r="E513" s="179">
        <v>9295722</v>
      </c>
      <c r="F513" s="172">
        <v>14612122</v>
      </c>
      <c r="G513" s="172">
        <v>21129722</v>
      </c>
      <c r="H513" s="191">
        <v>23242694.199999999</v>
      </c>
      <c r="I513" s="25"/>
    </row>
    <row r="514" spans="1:9" ht="49.5">
      <c r="A514" s="10">
        <v>1162</v>
      </c>
      <c r="B514" s="4">
        <v>11006</v>
      </c>
      <c r="C514" s="40" t="s">
        <v>592</v>
      </c>
      <c r="D514" s="179">
        <v>135960</v>
      </c>
      <c r="E514" s="179">
        <v>152883</v>
      </c>
      <c r="F514" s="172">
        <v>407788</v>
      </c>
      <c r="G514" s="172">
        <v>407788</v>
      </c>
      <c r="H514" s="191">
        <v>407788</v>
      </c>
      <c r="I514" s="25"/>
    </row>
    <row r="515" spans="1:9" ht="33">
      <c r="A515" s="10">
        <v>1162</v>
      </c>
      <c r="B515" s="4">
        <v>11007</v>
      </c>
      <c r="C515" s="40" t="s">
        <v>593</v>
      </c>
      <c r="D515" s="179">
        <v>79630.3</v>
      </c>
      <c r="E515" s="179">
        <v>95556.3</v>
      </c>
      <c r="F515" s="172">
        <v>95556.3</v>
      </c>
      <c r="G515" s="172">
        <v>95556.3</v>
      </c>
      <c r="H515" s="191">
        <v>95556.3</v>
      </c>
      <c r="I515" s="25"/>
    </row>
    <row r="516" spans="1:9" ht="49.5">
      <c r="A516" s="10">
        <v>1162</v>
      </c>
      <c r="B516" s="4">
        <v>11008</v>
      </c>
      <c r="C516" s="40" t="s">
        <v>594</v>
      </c>
      <c r="D516" s="179">
        <v>870077.8</v>
      </c>
      <c r="E516" s="179">
        <v>948500.3</v>
      </c>
      <c r="F516" s="172">
        <v>1020687.3</v>
      </c>
      <c r="G516" s="172">
        <v>1020687.3</v>
      </c>
      <c r="H516" s="191">
        <v>1020687.3</v>
      </c>
      <c r="I516" s="25"/>
    </row>
    <row r="517" spans="1:9" ht="33">
      <c r="A517" s="10">
        <v>1162</v>
      </c>
      <c r="B517" s="4">
        <v>11009</v>
      </c>
      <c r="C517" s="40" t="s">
        <v>595</v>
      </c>
      <c r="D517" s="179">
        <v>228610.4</v>
      </c>
      <c r="E517" s="179">
        <v>244271.7</v>
      </c>
      <c r="F517" s="172">
        <v>257961.2</v>
      </c>
      <c r="G517" s="172">
        <v>257961.2</v>
      </c>
      <c r="H517" s="191">
        <v>257961.2</v>
      </c>
      <c r="I517" s="25"/>
    </row>
    <row r="518" spans="1:9" ht="33">
      <c r="A518" s="10">
        <v>1162</v>
      </c>
      <c r="B518" s="4">
        <v>11010</v>
      </c>
      <c r="C518" s="40" t="s">
        <v>596</v>
      </c>
      <c r="D518" s="179">
        <v>45000</v>
      </c>
      <c r="E518" s="179">
        <v>45000</v>
      </c>
      <c r="F518" s="172">
        <v>45000</v>
      </c>
      <c r="G518" s="172">
        <v>45000</v>
      </c>
      <c r="H518" s="191">
        <v>45000</v>
      </c>
      <c r="I518" s="25"/>
    </row>
    <row r="519" spans="1:9" ht="33">
      <c r="A519" s="10">
        <v>1162</v>
      </c>
      <c r="B519" s="4">
        <v>11012</v>
      </c>
      <c r="C519" s="40" t="s">
        <v>597</v>
      </c>
      <c r="D519" s="179">
        <v>128302.6</v>
      </c>
      <c r="E519" s="179">
        <v>150630.1</v>
      </c>
      <c r="F519" s="172">
        <v>150630.1</v>
      </c>
      <c r="G519" s="172">
        <v>150630.1</v>
      </c>
      <c r="H519" s="191">
        <v>150630.1</v>
      </c>
      <c r="I519" s="25"/>
    </row>
    <row r="520" spans="1:9" ht="33">
      <c r="A520" s="10">
        <v>1162</v>
      </c>
      <c r="B520" s="4">
        <v>11013</v>
      </c>
      <c r="C520" s="40" t="s">
        <v>598</v>
      </c>
      <c r="D520" s="179">
        <v>157960.15</v>
      </c>
      <c r="E520" s="179">
        <v>0</v>
      </c>
      <c r="F520" s="172">
        <v>0</v>
      </c>
      <c r="G520" s="172">
        <v>0</v>
      </c>
      <c r="H520" s="191">
        <v>0</v>
      </c>
      <c r="I520" s="25"/>
    </row>
    <row r="521" spans="1:9" ht="66">
      <c r="A521" s="10">
        <v>1162</v>
      </c>
      <c r="B521" s="4">
        <v>11018</v>
      </c>
      <c r="C521" s="40" t="s">
        <v>599</v>
      </c>
      <c r="D521" s="179">
        <v>0</v>
      </c>
      <c r="E521" s="179">
        <v>173029.2</v>
      </c>
      <c r="F521" s="172">
        <v>173029.2</v>
      </c>
      <c r="G521" s="172">
        <v>173029.2</v>
      </c>
      <c r="H521" s="191">
        <v>173029.2</v>
      </c>
      <c r="I521" s="25"/>
    </row>
    <row r="522" spans="1:9" ht="49.5">
      <c r="A522" s="10">
        <v>1162</v>
      </c>
      <c r="B522" s="4">
        <v>12001</v>
      </c>
      <c r="C522" s="40" t="s">
        <v>600</v>
      </c>
      <c r="D522" s="179">
        <v>769577.05</v>
      </c>
      <c r="E522" s="179">
        <v>842000</v>
      </c>
      <c r="F522" s="172">
        <v>842000</v>
      </c>
      <c r="G522" s="172">
        <v>842000</v>
      </c>
      <c r="H522" s="191">
        <v>842000</v>
      </c>
      <c r="I522" s="25"/>
    </row>
    <row r="523" spans="1:9" ht="49.5">
      <c r="A523" s="10">
        <v>1162</v>
      </c>
      <c r="B523" s="4">
        <v>12002</v>
      </c>
      <c r="C523" s="40" t="s">
        <v>601</v>
      </c>
      <c r="D523" s="172">
        <v>139200</v>
      </c>
      <c r="E523" s="172">
        <v>112200</v>
      </c>
      <c r="F523" s="172">
        <v>112200</v>
      </c>
      <c r="G523" s="172">
        <v>112200</v>
      </c>
      <c r="H523" s="191">
        <v>112200</v>
      </c>
      <c r="I523" s="119"/>
    </row>
    <row r="524" spans="1:9">
      <c r="A524" s="32">
        <v>1163</v>
      </c>
      <c r="B524" s="654" t="s">
        <v>602</v>
      </c>
      <c r="C524" s="655"/>
      <c r="D524" s="180">
        <f>SUM(D525:D540)</f>
        <v>238022.7</v>
      </c>
      <c r="E524" s="180">
        <f>SUM(E525:E540)</f>
        <v>253634.4</v>
      </c>
      <c r="F524" s="180">
        <f>SUM(F525:F540)</f>
        <v>746920.5</v>
      </c>
      <c r="G524" s="180">
        <f>SUM(G525:G540)</f>
        <v>805919.4</v>
      </c>
      <c r="H524" s="198">
        <f>SUM(H525:H540)</f>
        <v>851919.4</v>
      </c>
      <c r="I524" s="132"/>
    </row>
    <row r="525" spans="1:9" ht="33">
      <c r="A525" s="10">
        <v>1163</v>
      </c>
      <c r="B525" s="4">
        <v>11007</v>
      </c>
      <c r="C525" s="40" t="s">
        <v>603</v>
      </c>
      <c r="D525" s="172">
        <v>5000</v>
      </c>
      <c r="E525" s="172">
        <v>5000</v>
      </c>
      <c r="F525" s="172">
        <v>5000</v>
      </c>
      <c r="G525" s="172">
        <v>5000</v>
      </c>
      <c r="H525" s="191">
        <v>5000</v>
      </c>
      <c r="I525" s="119"/>
    </row>
    <row r="526" spans="1:9" ht="66">
      <c r="A526" s="10">
        <v>1163</v>
      </c>
      <c r="B526" s="4">
        <v>11017</v>
      </c>
      <c r="C526" s="40" t="s">
        <v>604</v>
      </c>
      <c r="D526" s="172">
        <v>19350</v>
      </c>
      <c r="E526" s="172">
        <v>15500</v>
      </c>
      <c r="F526" s="172">
        <v>25000</v>
      </c>
      <c r="G526" s="172">
        <v>15500</v>
      </c>
      <c r="H526" s="191">
        <v>25000</v>
      </c>
      <c r="I526" s="119"/>
    </row>
    <row r="527" spans="1:9" ht="82.5">
      <c r="A527" s="10">
        <v>1163</v>
      </c>
      <c r="B527" s="4">
        <v>11018</v>
      </c>
      <c r="C527" s="40" t="s">
        <v>605</v>
      </c>
      <c r="D527" s="172">
        <v>21527.600000000002</v>
      </c>
      <c r="E527" s="172">
        <v>25724.2</v>
      </c>
      <c r="F527" s="172">
        <v>40013.5</v>
      </c>
      <c r="G527" s="172">
        <v>40013.5</v>
      </c>
      <c r="H527" s="191">
        <v>40013.5</v>
      </c>
      <c r="I527" s="25" t="s">
        <v>606</v>
      </c>
    </row>
    <row r="528" spans="1:9" ht="49.5">
      <c r="A528" s="10">
        <v>1163</v>
      </c>
      <c r="B528" s="4">
        <v>11019</v>
      </c>
      <c r="C528" s="40" t="s">
        <v>607</v>
      </c>
      <c r="D528" s="172">
        <v>39603.370000000003</v>
      </c>
      <c r="E528" s="172">
        <v>39715.9</v>
      </c>
      <c r="F528" s="172">
        <v>47517.9</v>
      </c>
      <c r="G528" s="172">
        <v>47517.9</v>
      </c>
      <c r="H528" s="191">
        <v>47517.9</v>
      </c>
      <c r="I528" s="25" t="s">
        <v>608</v>
      </c>
    </row>
    <row r="529" spans="1:9" ht="49.5">
      <c r="A529" s="10">
        <v>1163</v>
      </c>
      <c r="B529" s="4">
        <v>11020</v>
      </c>
      <c r="C529" s="40" t="s">
        <v>609</v>
      </c>
      <c r="D529" s="172">
        <v>19351.8</v>
      </c>
      <c r="E529" s="172">
        <v>20155.2</v>
      </c>
      <c r="F529" s="172">
        <v>25206.9</v>
      </c>
      <c r="G529" s="172">
        <v>25206.9</v>
      </c>
      <c r="H529" s="191">
        <v>25206.9</v>
      </c>
      <c r="I529" s="119"/>
    </row>
    <row r="530" spans="1:9" ht="66">
      <c r="A530" s="10">
        <v>1163</v>
      </c>
      <c r="B530" s="4">
        <v>11021</v>
      </c>
      <c r="C530" s="40" t="s">
        <v>610</v>
      </c>
      <c r="D530" s="172">
        <v>23860.95</v>
      </c>
      <c r="E530" s="172">
        <v>25196.1</v>
      </c>
      <c r="F530" s="172">
        <v>48930.1</v>
      </c>
      <c r="G530" s="172">
        <v>48930.1</v>
      </c>
      <c r="H530" s="191">
        <v>48930.1</v>
      </c>
      <c r="I530" s="25" t="s">
        <v>606</v>
      </c>
    </row>
    <row r="531" spans="1:9" ht="33">
      <c r="A531" s="10">
        <v>1163</v>
      </c>
      <c r="B531" s="4">
        <v>11022</v>
      </c>
      <c r="C531" s="40" t="s">
        <v>611</v>
      </c>
      <c r="D531" s="172">
        <v>35680</v>
      </c>
      <c r="E531" s="172">
        <v>50000</v>
      </c>
      <c r="F531" s="172">
        <v>91944.1</v>
      </c>
      <c r="G531" s="172">
        <v>102943</v>
      </c>
      <c r="H531" s="191">
        <v>102943</v>
      </c>
      <c r="I531" s="119"/>
    </row>
    <row r="532" spans="1:9" ht="66">
      <c r="A532" s="10">
        <v>1163</v>
      </c>
      <c r="B532" s="4">
        <v>11023</v>
      </c>
      <c r="C532" s="40" t="s">
        <v>612</v>
      </c>
      <c r="D532" s="172">
        <v>28796.7</v>
      </c>
      <c r="E532" s="172">
        <v>29274.9</v>
      </c>
      <c r="F532" s="172">
        <v>29575.1</v>
      </c>
      <c r="G532" s="172">
        <v>29575.1</v>
      </c>
      <c r="H532" s="191">
        <v>29575.1</v>
      </c>
      <c r="I532" s="119"/>
    </row>
    <row r="533" spans="1:9" ht="66">
      <c r="A533" s="10">
        <v>1163</v>
      </c>
      <c r="B533" s="4">
        <v>11024</v>
      </c>
      <c r="C533" s="40" t="s">
        <v>613</v>
      </c>
      <c r="D533" s="172">
        <v>44852.28</v>
      </c>
      <c r="E533" s="172">
        <v>43068.1</v>
      </c>
      <c r="F533" s="172">
        <v>61670.9</v>
      </c>
      <c r="G533" s="172">
        <v>61670.9</v>
      </c>
      <c r="H533" s="191">
        <v>61670.9</v>
      </c>
      <c r="I533" s="25" t="s">
        <v>614</v>
      </c>
    </row>
    <row r="534" spans="1:9" ht="69">
      <c r="A534" s="10">
        <v>1163</v>
      </c>
      <c r="B534" s="4" t="s">
        <v>413</v>
      </c>
      <c r="C534" s="80" t="s">
        <v>615</v>
      </c>
      <c r="D534" s="172">
        <v>0</v>
      </c>
      <c r="E534" s="172">
        <v>0</v>
      </c>
      <c r="F534" s="172">
        <v>4500</v>
      </c>
      <c r="G534" s="172">
        <v>4500</v>
      </c>
      <c r="H534" s="191">
        <v>4500</v>
      </c>
      <c r="I534" s="119"/>
    </row>
    <row r="535" spans="1:9" ht="51.75">
      <c r="A535" s="10">
        <v>1163</v>
      </c>
      <c r="B535" s="4" t="s">
        <v>413</v>
      </c>
      <c r="C535" s="80" t="s">
        <v>616</v>
      </c>
      <c r="D535" s="172">
        <v>0</v>
      </c>
      <c r="E535" s="172">
        <v>0</v>
      </c>
      <c r="F535" s="172">
        <v>0</v>
      </c>
      <c r="G535" s="172">
        <v>30000</v>
      </c>
      <c r="H535" s="191">
        <v>42000</v>
      </c>
      <c r="I535" s="119"/>
    </row>
    <row r="536" spans="1:9" ht="69">
      <c r="A536" s="10">
        <v>1163</v>
      </c>
      <c r="B536" s="4" t="s">
        <v>413</v>
      </c>
      <c r="C536" s="80" t="s">
        <v>617</v>
      </c>
      <c r="D536" s="172">
        <v>0</v>
      </c>
      <c r="E536" s="172">
        <v>0</v>
      </c>
      <c r="F536" s="172">
        <v>15000</v>
      </c>
      <c r="G536" s="172">
        <v>0</v>
      </c>
      <c r="H536" s="191">
        <v>0</v>
      </c>
      <c r="I536" s="119"/>
    </row>
    <row r="537" spans="1:9" ht="103.5">
      <c r="A537" s="10">
        <v>1163</v>
      </c>
      <c r="B537" s="4" t="s">
        <v>413</v>
      </c>
      <c r="C537" s="80" t="s">
        <v>618</v>
      </c>
      <c r="D537" s="172">
        <v>0</v>
      </c>
      <c r="E537" s="172">
        <v>0</v>
      </c>
      <c r="F537" s="172">
        <v>10000</v>
      </c>
      <c r="G537" s="172">
        <v>10000</v>
      </c>
      <c r="H537" s="191">
        <v>10000</v>
      </c>
      <c r="I537" s="119"/>
    </row>
    <row r="538" spans="1:9" ht="138">
      <c r="A538" s="10">
        <v>1163</v>
      </c>
      <c r="B538" s="4" t="s">
        <v>413</v>
      </c>
      <c r="C538" s="80" t="s">
        <v>619</v>
      </c>
      <c r="D538" s="172">
        <v>0</v>
      </c>
      <c r="E538" s="172">
        <v>0</v>
      </c>
      <c r="F538" s="172">
        <v>267562</v>
      </c>
      <c r="G538" s="172">
        <v>267562</v>
      </c>
      <c r="H538" s="191">
        <v>267562</v>
      </c>
      <c r="I538" s="119"/>
    </row>
    <row r="539" spans="1:9" ht="138">
      <c r="A539" s="10">
        <v>1163</v>
      </c>
      <c r="B539" s="4" t="s">
        <v>413</v>
      </c>
      <c r="C539" s="80" t="s">
        <v>620</v>
      </c>
      <c r="D539" s="172">
        <v>0</v>
      </c>
      <c r="E539" s="172">
        <v>0</v>
      </c>
      <c r="F539" s="172">
        <v>75000</v>
      </c>
      <c r="G539" s="172">
        <v>87500</v>
      </c>
      <c r="H539" s="191">
        <v>100000</v>
      </c>
      <c r="I539" s="119"/>
    </row>
    <row r="540" spans="1:9" ht="69">
      <c r="A540" s="10">
        <v>1163</v>
      </c>
      <c r="B540" s="4" t="s">
        <v>413</v>
      </c>
      <c r="C540" s="80" t="s">
        <v>621</v>
      </c>
      <c r="D540" s="172">
        <v>0</v>
      </c>
      <c r="E540" s="172">
        <v>0</v>
      </c>
      <c r="F540" s="172">
        <v>0</v>
      </c>
      <c r="G540" s="172">
        <v>30000</v>
      </c>
      <c r="H540" s="191">
        <v>42000</v>
      </c>
      <c r="I540" s="119"/>
    </row>
    <row r="541" spans="1:9">
      <c r="A541" s="32">
        <v>1168</v>
      </c>
      <c r="B541" s="654" t="s">
        <v>622</v>
      </c>
      <c r="C541" s="655"/>
      <c r="D541" s="180">
        <f>SUM(D542:D556)</f>
        <v>12401716.27</v>
      </c>
      <c r="E541" s="180">
        <f>SUM(E542:E556)</f>
        <v>9024192</v>
      </c>
      <c r="F541" s="180">
        <f>SUM(F542:F556)</f>
        <v>11008931.299999999</v>
      </c>
      <c r="G541" s="180">
        <f>SUM(G542:G556)</f>
        <v>11739222.799999999</v>
      </c>
      <c r="H541" s="180">
        <f>SUM(H542:H556)</f>
        <v>12008723.799999999</v>
      </c>
      <c r="I541" s="132"/>
    </row>
    <row r="542" spans="1:9" ht="33">
      <c r="A542" s="10">
        <v>1168</v>
      </c>
      <c r="B542" s="4">
        <v>11001</v>
      </c>
      <c r="C542" s="40" t="s">
        <v>623</v>
      </c>
      <c r="D542" s="172">
        <v>1448599.12</v>
      </c>
      <c r="E542" s="172">
        <v>1580000</v>
      </c>
      <c r="F542" s="172">
        <v>2000000</v>
      </c>
      <c r="G542" s="172">
        <v>2200000</v>
      </c>
      <c r="H542" s="172">
        <v>2200000</v>
      </c>
      <c r="I542" s="119"/>
    </row>
    <row r="543" spans="1:9" ht="33">
      <c r="A543" s="10">
        <v>1168</v>
      </c>
      <c r="B543" s="4">
        <v>11002</v>
      </c>
      <c r="C543" s="40" t="s">
        <v>624</v>
      </c>
      <c r="D543" s="172">
        <v>351146.9</v>
      </c>
      <c r="E543" s="172">
        <v>359307.5</v>
      </c>
      <c r="F543" s="193">
        <v>359307.5</v>
      </c>
      <c r="G543" s="193">
        <v>450000</v>
      </c>
      <c r="H543" s="193">
        <v>470000</v>
      </c>
      <c r="I543" s="119"/>
    </row>
    <row r="544" spans="1:9">
      <c r="A544" s="10">
        <v>1168</v>
      </c>
      <c r="B544" s="4">
        <v>11003</v>
      </c>
      <c r="C544" s="40" t="s">
        <v>625</v>
      </c>
      <c r="D544" s="172">
        <v>2325176.6999999997</v>
      </c>
      <c r="E544" s="172">
        <v>2049406.6</v>
      </c>
      <c r="F544" s="193">
        <v>2628299.2000000002</v>
      </c>
      <c r="G544" s="193">
        <v>2628299.2000000002</v>
      </c>
      <c r="H544" s="193">
        <v>2628299.2000000002</v>
      </c>
      <c r="I544" s="119"/>
    </row>
    <row r="545" spans="1:9" ht="33">
      <c r="A545" s="10">
        <v>1168</v>
      </c>
      <c r="B545" s="4">
        <v>11004</v>
      </c>
      <c r="C545" s="40" t="s">
        <v>626</v>
      </c>
      <c r="D545" s="172">
        <v>3026576.57</v>
      </c>
      <c r="E545" s="172">
        <v>3014620.7</v>
      </c>
      <c r="F545" s="172">
        <v>3031128.3000000003</v>
      </c>
      <c r="G545" s="172">
        <v>3031128.3000000003</v>
      </c>
      <c r="H545" s="172">
        <v>3031128.3000000003</v>
      </c>
      <c r="I545" s="119"/>
    </row>
    <row r="546" spans="1:9" ht="33">
      <c r="A546" s="10">
        <v>1168</v>
      </c>
      <c r="B546" s="4">
        <v>11005</v>
      </c>
      <c r="C546" s="40" t="s">
        <v>627</v>
      </c>
      <c r="D546" s="172">
        <v>3920337.48</v>
      </c>
      <c r="E546" s="172">
        <v>1310648</v>
      </c>
      <c r="F546" s="172">
        <v>2200500</v>
      </c>
      <c r="G546" s="172">
        <v>2250499</v>
      </c>
      <c r="H546" s="172">
        <v>2300000</v>
      </c>
      <c r="I546" s="119"/>
    </row>
    <row r="547" spans="1:9" ht="33">
      <c r="A547" s="10">
        <v>1168</v>
      </c>
      <c r="B547" s="4">
        <v>11006</v>
      </c>
      <c r="C547" s="40" t="s">
        <v>628</v>
      </c>
      <c r="D547" s="172">
        <v>400846.60000000003</v>
      </c>
      <c r="E547" s="172">
        <v>404616.6</v>
      </c>
      <c r="F547" s="193">
        <v>404616.6</v>
      </c>
      <c r="G547" s="193">
        <v>404616.6</v>
      </c>
      <c r="H547" s="192">
        <v>404616.6</v>
      </c>
      <c r="I547" s="119"/>
    </row>
    <row r="548" spans="1:9" ht="66">
      <c r="A548" s="10">
        <v>1168</v>
      </c>
      <c r="B548" s="4">
        <v>11008</v>
      </c>
      <c r="C548" s="40" t="s">
        <v>629</v>
      </c>
      <c r="D548" s="172">
        <v>73.680000000000007</v>
      </c>
      <c r="E548" s="172">
        <v>90</v>
      </c>
      <c r="F548" s="172">
        <v>90</v>
      </c>
      <c r="G548" s="172">
        <v>90</v>
      </c>
      <c r="H548" s="172">
        <v>90</v>
      </c>
      <c r="I548" s="119"/>
    </row>
    <row r="549" spans="1:9" ht="33">
      <c r="A549" s="10">
        <v>1168</v>
      </c>
      <c r="B549" s="4">
        <v>11010</v>
      </c>
      <c r="C549" s="40" t="s">
        <v>630</v>
      </c>
      <c r="D549" s="172">
        <v>182104.9</v>
      </c>
      <c r="E549" s="172">
        <v>182104.9</v>
      </c>
      <c r="F549" s="172">
        <v>182909.7</v>
      </c>
      <c r="G549" s="172">
        <v>182909.7</v>
      </c>
      <c r="H549" s="191">
        <v>182909.7</v>
      </c>
      <c r="I549" s="119"/>
    </row>
    <row r="550" spans="1:9" ht="49.5">
      <c r="A550" s="10">
        <v>1168</v>
      </c>
      <c r="B550" s="4">
        <v>11013</v>
      </c>
      <c r="C550" s="40" t="s">
        <v>631</v>
      </c>
      <c r="D550" s="172">
        <v>156578.68</v>
      </c>
      <c r="E550" s="172">
        <v>0</v>
      </c>
      <c r="F550" s="172">
        <v>0</v>
      </c>
      <c r="G550" s="172">
        <v>0</v>
      </c>
      <c r="H550" s="191">
        <v>0</v>
      </c>
      <c r="I550" s="119"/>
    </row>
    <row r="551" spans="1:9" ht="49.5">
      <c r="A551" s="10">
        <v>1168</v>
      </c>
      <c r="B551" s="4">
        <v>11014</v>
      </c>
      <c r="C551" s="40" t="s">
        <v>632</v>
      </c>
      <c r="D551" s="172">
        <v>299568.84000000003</v>
      </c>
      <c r="E551" s="172">
        <v>0</v>
      </c>
      <c r="F551" s="172">
        <v>0</v>
      </c>
      <c r="G551" s="172">
        <v>0</v>
      </c>
      <c r="H551" s="191">
        <v>0</v>
      </c>
      <c r="I551" s="119"/>
    </row>
    <row r="552" spans="1:9" ht="66">
      <c r="A552" s="10">
        <v>1168</v>
      </c>
      <c r="B552" s="4">
        <v>11025</v>
      </c>
      <c r="C552" s="40" t="s">
        <v>633</v>
      </c>
      <c r="D552" s="172">
        <v>233526.80000000002</v>
      </c>
      <c r="E552" s="172">
        <v>90517.7</v>
      </c>
      <c r="F552" s="193">
        <v>50000</v>
      </c>
      <c r="G552" s="193">
        <v>400000</v>
      </c>
      <c r="H552" s="193">
        <v>600000</v>
      </c>
      <c r="I552" s="119"/>
    </row>
    <row r="553" spans="1:9" ht="33">
      <c r="A553" s="10">
        <v>1168</v>
      </c>
      <c r="B553" s="4">
        <v>12001</v>
      </c>
      <c r="C553" s="40" t="s">
        <v>634</v>
      </c>
      <c r="D553" s="172">
        <v>27180</v>
      </c>
      <c r="E553" s="172">
        <v>32880</v>
      </c>
      <c r="F553" s="172">
        <v>32880</v>
      </c>
      <c r="G553" s="172">
        <v>32880</v>
      </c>
      <c r="H553" s="172">
        <v>32880</v>
      </c>
      <c r="I553" s="119"/>
    </row>
    <row r="554" spans="1:9" ht="33">
      <c r="A554" s="10">
        <v>1168</v>
      </c>
      <c r="B554" s="4">
        <v>32005</v>
      </c>
      <c r="C554" s="40" t="s">
        <v>635</v>
      </c>
      <c r="D554" s="172">
        <v>30000</v>
      </c>
      <c r="E554" s="172">
        <v>0</v>
      </c>
      <c r="F554" s="172">
        <v>0</v>
      </c>
      <c r="G554" s="172">
        <v>0</v>
      </c>
      <c r="H554" s="191">
        <v>0</v>
      </c>
      <c r="I554" s="119"/>
    </row>
    <row r="555" spans="1:9">
      <c r="A555" s="10">
        <v>1168</v>
      </c>
      <c r="B555" s="4" t="s">
        <v>465</v>
      </c>
      <c r="C555" s="40" t="s">
        <v>636</v>
      </c>
      <c r="D555" s="172">
        <v>0</v>
      </c>
      <c r="E555" s="172">
        <v>0</v>
      </c>
      <c r="F555" s="172">
        <v>79200</v>
      </c>
      <c r="G555" s="172">
        <v>118800</v>
      </c>
      <c r="H555" s="191">
        <v>118800</v>
      </c>
      <c r="I555" s="119"/>
    </row>
    <row r="556" spans="1:9" ht="66">
      <c r="A556" s="10">
        <v>1168</v>
      </c>
      <c r="B556" s="4" t="s">
        <v>465</v>
      </c>
      <c r="C556" s="40" t="s">
        <v>637</v>
      </c>
      <c r="D556" s="172">
        <v>0</v>
      </c>
      <c r="E556" s="172">
        <v>0</v>
      </c>
      <c r="F556" s="172">
        <v>40000</v>
      </c>
      <c r="G556" s="172">
        <v>40000</v>
      </c>
      <c r="H556" s="191">
        <v>40000</v>
      </c>
      <c r="I556" s="119"/>
    </row>
    <row r="557" spans="1:9">
      <c r="A557" s="32">
        <v>1183</v>
      </c>
      <c r="B557" s="654" t="s">
        <v>638</v>
      </c>
      <c r="C557" s="655"/>
      <c r="D557" s="180">
        <f>SUM(D558)</f>
        <v>32128.670000000002</v>
      </c>
      <c r="E557" s="180">
        <f>SUM(E558)</f>
        <v>45000</v>
      </c>
      <c r="F557" s="180">
        <f>SUM(F558)</f>
        <v>60000</v>
      </c>
      <c r="G557" s="180">
        <f>SUM(G558)</f>
        <v>80000</v>
      </c>
      <c r="H557" s="198">
        <f>SUM(H558)</f>
        <v>100000</v>
      </c>
      <c r="I557" s="132"/>
    </row>
    <row r="558" spans="1:9" ht="49.5">
      <c r="A558" s="10">
        <v>1183</v>
      </c>
      <c r="B558" s="4">
        <v>11002</v>
      </c>
      <c r="C558" s="40" t="s">
        <v>639</v>
      </c>
      <c r="D558" s="172">
        <v>32128.670000000002</v>
      </c>
      <c r="E558" s="172">
        <v>45000</v>
      </c>
      <c r="F558" s="172">
        <v>60000</v>
      </c>
      <c r="G558" s="172">
        <v>80000</v>
      </c>
      <c r="H558" s="191">
        <v>100000</v>
      </c>
      <c r="I558" s="119"/>
    </row>
    <row r="559" spans="1:9">
      <c r="A559" s="32">
        <v>1189</v>
      </c>
      <c r="B559" s="654" t="s">
        <v>640</v>
      </c>
      <c r="C559" s="655"/>
      <c r="D559" s="180">
        <f>SUM(D560)</f>
        <v>0</v>
      </c>
      <c r="E559" s="180">
        <f>SUM(E560)</f>
        <v>224661</v>
      </c>
      <c r="F559" s="180">
        <f>SUM(F560)</f>
        <v>350000</v>
      </c>
      <c r="G559" s="180">
        <f>SUM(G560)</f>
        <v>420000</v>
      </c>
      <c r="H559" s="198">
        <f>SUM(H560)</f>
        <v>504000</v>
      </c>
      <c r="I559" s="132"/>
    </row>
    <row r="560" spans="1:9" ht="49.7" customHeight="1">
      <c r="A560" s="10">
        <v>1189</v>
      </c>
      <c r="B560" s="4" t="s">
        <v>70</v>
      </c>
      <c r="C560" s="40" t="s">
        <v>641</v>
      </c>
      <c r="D560" s="172">
        <v>0</v>
      </c>
      <c r="E560" s="172">
        <v>224661</v>
      </c>
      <c r="F560" s="172">
        <v>350000</v>
      </c>
      <c r="G560" s="172">
        <f>+F560*1.2</f>
        <v>420000</v>
      </c>
      <c r="H560" s="191">
        <f>+G560*1.2</f>
        <v>504000</v>
      </c>
      <c r="I560" s="119"/>
    </row>
    <row r="561" spans="1:9">
      <c r="A561" s="32">
        <v>1192</v>
      </c>
      <c r="B561" s="654" t="s">
        <v>642</v>
      </c>
      <c r="C561" s="655"/>
      <c r="D561" s="180">
        <f>SUM(D562:D573)</f>
        <v>4711170.616799999</v>
      </c>
      <c r="E561" s="180">
        <f>SUM(E562:E573)</f>
        <v>5285131.2</v>
      </c>
      <c r="F561" s="180">
        <f>SUM(F562:F573)</f>
        <v>5597794</v>
      </c>
      <c r="G561" s="180">
        <f>SUM(G562:G573)</f>
        <v>5873794.0999999996</v>
      </c>
      <c r="H561" s="198">
        <f>SUM(H562:H573)</f>
        <v>6174166.4000000004</v>
      </c>
      <c r="I561" s="132"/>
    </row>
    <row r="562" spans="1:9" ht="33" customHeight="1">
      <c r="A562" s="10">
        <v>1192</v>
      </c>
      <c r="B562" s="4">
        <v>11001</v>
      </c>
      <c r="C562" s="40" t="s">
        <v>643</v>
      </c>
      <c r="D562" s="172">
        <v>199405.4</v>
      </c>
      <c r="E562" s="172">
        <v>199405.4</v>
      </c>
      <c r="F562" s="172">
        <v>199405.4</v>
      </c>
      <c r="G562" s="172">
        <v>199405.4</v>
      </c>
      <c r="H562" s="172">
        <v>199405.4</v>
      </c>
      <c r="I562" s="119" t="s">
        <v>439</v>
      </c>
    </row>
    <row r="563" spans="1:9" ht="82.5">
      <c r="A563" s="10">
        <v>1192</v>
      </c>
      <c r="B563" s="4">
        <v>11003</v>
      </c>
      <c r="C563" s="40" t="s">
        <v>644</v>
      </c>
      <c r="D563" s="172">
        <v>9027.2000000000007</v>
      </c>
      <c r="E563" s="172">
        <v>45010.7</v>
      </c>
      <c r="F563" s="172">
        <v>45010.7</v>
      </c>
      <c r="G563" s="172">
        <v>45010.7</v>
      </c>
      <c r="H563" s="172">
        <v>45010.7</v>
      </c>
      <c r="I563" s="119"/>
    </row>
    <row r="564" spans="1:9" ht="49.5">
      <c r="A564" s="10">
        <v>1192</v>
      </c>
      <c r="B564" s="4">
        <v>11004</v>
      </c>
      <c r="C564" s="40" t="s">
        <v>645</v>
      </c>
      <c r="D564" s="172">
        <v>102038.46</v>
      </c>
      <c r="E564" s="173">
        <v>0</v>
      </c>
      <c r="F564" s="172">
        <v>0</v>
      </c>
      <c r="G564" s="172">
        <v>0</v>
      </c>
      <c r="H564" s="191">
        <v>0</v>
      </c>
      <c r="I564" s="119"/>
    </row>
    <row r="565" spans="1:9" ht="49.5">
      <c r="A565" s="10">
        <v>1192</v>
      </c>
      <c r="B565" s="4">
        <v>11005</v>
      </c>
      <c r="C565" s="40" t="s">
        <v>646</v>
      </c>
      <c r="D565" s="172">
        <v>32876.14</v>
      </c>
      <c r="E565" s="172">
        <v>52826.9</v>
      </c>
      <c r="F565" s="172">
        <v>52826.9</v>
      </c>
      <c r="G565" s="172">
        <v>52826.9</v>
      </c>
      <c r="H565" s="191">
        <v>52826.9</v>
      </c>
      <c r="I565" s="119"/>
    </row>
    <row r="566" spans="1:9" ht="148.5">
      <c r="A566" s="10">
        <v>1192</v>
      </c>
      <c r="B566" s="4">
        <v>11006</v>
      </c>
      <c r="C566" s="40" t="s">
        <v>647</v>
      </c>
      <c r="D566" s="172">
        <v>401656.8</v>
      </c>
      <c r="E566" s="172">
        <v>341748.5</v>
      </c>
      <c r="F566" s="172">
        <v>442037.6</v>
      </c>
      <c r="G566" s="172">
        <v>508037.7</v>
      </c>
      <c r="H566" s="191">
        <v>558410</v>
      </c>
      <c r="I566" s="25" t="s">
        <v>648</v>
      </c>
    </row>
    <row r="567" spans="1:9" ht="49.5">
      <c r="A567" s="10">
        <v>1192</v>
      </c>
      <c r="B567" s="4">
        <v>11010</v>
      </c>
      <c r="C567" s="40" t="s">
        <v>649</v>
      </c>
      <c r="D567" s="172">
        <v>3265557.07</v>
      </c>
      <c r="E567" s="172">
        <v>3632513.4</v>
      </c>
      <c r="F567" s="172">
        <v>3632513.4</v>
      </c>
      <c r="G567" s="172">
        <v>3632513.4</v>
      </c>
      <c r="H567" s="191">
        <v>3632513.4</v>
      </c>
      <c r="I567" s="119" t="s">
        <v>541</v>
      </c>
    </row>
    <row r="568" spans="1:9" ht="99">
      <c r="A568" s="10">
        <v>1192</v>
      </c>
      <c r="B568" s="4">
        <v>11018</v>
      </c>
      <c r="C568" s="40" t="s">
        <v>650</v>
      </c>
      <c r="D568" s="172">
        <v>3090</v>
      </c>
      <c r="E568" s="172">
        <v>4000</v>
      </c>
      <c r="F568" s="172">
        <v>4000</v>
      </c>
      <c r="G568" s="172">
        <v>4000</v>
      </c>
      <c r="H568" s="191">
        <v>4000</v>
      </c>
      <c r="I568" s="119"/>
    </row>
    <row r="569" spans="1:9" ht="148.5">
      <c r="A569" s="10">
        <v>1192</v>
      </c>
      <c r="B569" s="4">
        <v>11020</v>
      </c>
      <c r="C569" s="40" t="s">
        <v>651</v>
      </c>
      <c r="D569" s="172">
        <v>3113.19</v>
      </c>
      <c r="E569" s="172">
        <v>0</v>
      </c>
      <c r="F569" s="172">
        <v>0</v>
      </c>
      <c r="G569" s="172">
        <v>0</v>
      </c>
      <c r="H569" s="191">
        <v>0</v>
      </c>
      <c r="I569" s="119"/>
    </row>
    <row r="570" spans="1:9" ht="99">
      <c r="A570" s="10">
        <v>1192</v>
      </c>
      <c r="B570" s="4">
        <v>11022</v>
      </c>
      <c r="C570" s="40" t="s">
        <v>652</v>
      </c>
      <c r="D570" s="172">
        <v>196103.37000000002</v>
      </c>
      <c r="E570" s="172">
        <v>72000</v>
      </c>
      <c r="F570" s="172">
        <v>72000</v>
      </c>
      <c r="G570" s="172">
        <v>72000</v>
      </c>
      <c r="H570" s="191">
        <v>72000</v>
      </c>
      <c r="I570" s="119" t="s">
        <v>541</v>
      </c>
    </row>
    <row r="571" spans="1:9" ht="82.5">
      <c r="A571" s="10">
        <v>1192</v>
      </c>
      <c r="B571" s="4">
        <v>11023</v>
      </c>
      <c r="C571" s="40" t="s">
        <v>653</v>
      </c>
      <c r="D571" s="172">
        <v>496957.38679999998</v>
      </c>
      <c r="E571" s="172">
        <v>850198</v>
      </c>
      <c r="F571" s="172">
        <v>950000</v>
      </c>
      <c r="G571" s="172">
        <f>+F571*1.2</f>
        <v>1140000</v>
      </c>
      <c r="H571" s="191">
        <f>+G571*1.2</f>
        <v>1368000</v>
      </c>
      <c r="I571" s="119"/>
    </row>
    <row r="572" spans="1:9" ht="82.5">
      <c r="A572" s="10">
        <v>1192</v>
      </c>
      <c r="B572" s="4">
        <v>11024</v>
      </c>
      <c r="C572" s="40" t="s">
        <v>654</v>
      </c>
      <c r="D572" s="172">
        <v>0</v>
      </c>
      <c r="E572" s="172">
        <v>87428.3</v>
      </c>
      <c r="F572" s="172">
        <v>200000</v>
      </c>
      <c r="G572" s="172">
        <f>+F572*1.1</f>
        <v>220000.00000000003</v>
      </c>
      <c r="H572" s="191">
        <f>+G572*1.1</f>
        <v>242000.00000000006</v>
      </c>
      <c r="I572" s="119"/>
    </row>
    <row r="573" spans="1:9" ht="115.5">
      <c r="A573" s="10">
        <v>1192</v>
      </c>
      <c r="B573" s="4">
        <v>12004</v>
      </c>
      <c r="C573" s="40" t="s">
        <v>655</v>
      </c>
      <c r="D573" s="172">
        <v>1345.6</v>
      </c>
      <c r="E573" s="172">
        <v>0</v>
      </c>
      <c r="F573" s="172">
        <v>0</v>
      </c>
      <c r="G573" s="172">
        <v>0</v>
      </c>
      <c r="H573" s="191">
        <v>0</v>
      </c>
      <c r="I573" s="119"/>
    </row>
    <row r="574" spans="1:9">
      <c r="A574" s="32">
        <v>1193</v>
      </c>
      <c r="B574" s="654" t="s">
        <v>656</v>
      </c>
      <c r="C574" s="655"/>
      <c r="D574" s="180">
        <f>SUM(D575:D578)</f>
        <v>3193090.4</v>
      </c>
      <c r="E574" s="180">
        <f>SUM(E575:E578)</f>
        <v>3767709.3</v>
      </c>
      <c r="F574" s="180">
        <f>SUM(F575:F578)</f>
        <v>5030291.7061200002</v>
      </c>
      <c r="G574" s="180">
        <f>SUM(G575:G578)</f>
        <v>5293026.9061200004</v>
      </c>
      <c r="H574" s="198">
        <f>SUM(H575:H578)</f>
        <v>5293026.9061200004</v>
      </c>
      <c r="I574" s="132"/>
    </row>
    <row r="575" spans="1:9" ht="49.7" customHeight="1">
      <c r="A575" s="10">
        <v>1193</v>
      </c>
      <c r="B575" s="4">
        <v>11001</v>
      </c>
      <c r="C575" s="40" t="s">
        <v>657</v>
      </c>
      <c r="D575" s="172">
        <v>2984433.4</v>
      </c>
      <c r="E575" s="172">
        <v>3685609.5</v>
      </c>
      <c r="F575" s="172">
        <v>4335143.1061200006</v>
      </c>
      <c r="G575" s="172">
        <v>4335143.1061200006</v>
      </c>
      <c r="H575" s="191">
        <v>4335143.1061200006</v>
      </c>
      <c r="I575" s="119"/>
    </row>
    <row r="576" spans="1:9" ht="82.5">
      <c r="A576" s="10">
        <v>1193</v>
      </c>
      <c r="B576" s="4">
        <v>11002</v>
      </c>
      <c r="C576" s="40" t="s">
        <v>658</v>
      </c>
      <c r="D576" s="172">
        <v>81002.8</v>
      </c>
      <c r="E576" s="172">
        <v>82099.8</v>
      </c>
      <c r="F576" s="172">
        <v>82099.8</v>
      </c>
      <c r="G576" s="172">
        <v>82099.8</v>
      </c>
      <c r="H576" s="191">
        <v>82099.8</v>
      </c>
      <c r="I576" s="119"/>
    </row>
    <row r="577" spans="1:9" ht="99">
      <c r="A577" s="10">
        <v>1193</v>
      </c>
      <c r="B577" s="4">
        <v>11003</v>
      </c>
      <c r="C577" s="40" t="s">
        <v>659</v>
      </c>
      <c r="D577" s="172">
        <v>127654.2</v>
      </c>
      <c r="E577" s="172">
        <v>0</v>
      </c>
      <c r="F577" s="172">
        <v>0</v>
      </c>
      <c r="G577" s="172">
        <v>0</v>
      </c>
      <c r="H577" s="191">
        <v>0</v>
      </c>
      <c r="I577" s="119"/>
    </row>
    <row r="578" spans="1:9" ht="172.5">
      <c r="A578" s="10">
        <v>1193</v>
      </c>
      <c r="B578" s="4" t="s">
        <v>413</v>
      </c>
      <c r="C578" s="79" t="s">
        <v>660</v>
      </c>
      <c r="D578" s="172">
        <v>0</v>
      </c>
      <c r="E578" s="172">
        <v>0</v>
      </c>
      <c r="F578" s="172">
        <v>613048.80000000005</v>
      </c>
      <c r="G578" s="172">
        <v>875784</v>
      </c>
      <c r="H578" s="172">
        <v>875784</v>
      </c>
      <c r="I578" s="119"/>
    </row>
    <row r="579" spans="1:9">
      <c r="A579" s="32">
        <v>1196</v>
      </c>
      <c r="B579" s="654" t="s">
        <v>661</v>
      </c>
      <c r="C579" s="655"/>
      <c r="D579" s="180">
        <f>SUM(D580:D582)</f>
        <v>81107.200000000012</v>
      </c>
      <c r="E579" s="180">
        <f>SUM(E580:E582)</f>
        <v>90650.4</v>
      </c>
      <c r="F579" s="180">
        <f>SUM(F580:F582)</f>
        <v>173947.4</v>
      </c>
      <c r="G579" s="180">
        <f>SUM(G580:G582)</f>
        <v>173947.4</v>
      </c>
      <c r="H579" s="180">
        <f>SUM(H580:H582)</f>
        <v>173947.4</v>
      </c>
      <c r="I579" s="132"/>
    </row>
    <row r="580" spans="1:9" ht="33" customHeight="1">
      <c r="A580" s="10">
        <v>1196</v>
      </c>
      <c r="B580" s="4">
        <v>11001</v>
      </c>
      <c r="C580" s="40" t="s">
        <v>662</v>
      </c>
      <c r="D580" s="172">
        <v>23203.200000000004</v>
      </c>
      <c r="E580" s="172">
        <v>31707.4</v>
      </c>
      <c r="F580" s="172">
        <v>31707.4</v>
      </c>
      <c r="G580" s="172">
        <v>31707.4</v>
      </c>
      <c r="H580" s="172">
        <v>31707.4</v>
      </c>
      <c r="I580" s="119"/>
    </row>
    <row r="581" spans="1:9" ht="33">
      <c r="A581" s="10">
        <v>1196</v>
      </c>
      <c r="B581" s="4">
        <v>11002</v>
      </c>
      <c r="C581" s="40" t="s">
        <v>663</v>
      </c>
      <c r="D581" s="172">
        <v>57904</v>
      </c>
      <c r="E581" s="172">
        <v>58943</v>
      </c>
      <c r="F581" s="172">
        <v>82240</v>
      </c>
      <c r="G581" s="172">
        <v>82240</v>
      </c>
      <c r="H581" s="172">
        <v>82240</v>
      </c>
      <c r="I581" s="119"/>
    </row>
    <row r="582" spans="1:9" ht="33">
      <c r="A582" s="10">
        <v>1196</v>
      </c>
      <c r="B582" s="4" t="s">
        <v>413</v>
      </c>
      <c r="C582" s="40" t="s">
        <v>664</v>
      </c>
      <c r="D582" s="172">
        <v>0</v>
      </c>
      <c r="E582" s="172">
        <v>0</v>
      </c>
      <c r="F582" s="172">
        <v>60000</v>
      </c>
      <c r="G582" s="172">
        <v>60000</v>
      </c>
      <c r="H582" s="172">
        <v>60000</v>
      </c>
      <c r="I582" s="119"/>
    </row>
    <row r="583" spans="1:9">
      <c r="A583" s="32">
        <v>1198</v>
      </c>
      <c r="B583" s="654" t="s">
        <v>665</v>
      </c>
      <c r="C583" s="655"/>
      <c r="D583" s="180">
        <f>SUM(D584:D591)</f>
        <v>326261.2</v>
      </c>
      <c r="E583" s="180">
        <f>SUM(E584:E591)</f>
        <v>809624.9</v>
      </c>
      <c r="F583" s="180">
        <f>SUM(F584:F591)</f>
        <v>875920.5</v>
      </c>
      <c r="G583" s="180">
        <f>SUM(G584:G591)</f>
        <v>875920.5</v>
      </c>
      <c r="H583" s="198">
        <f>SUM(H584:H591)</f>
        <v>885920.5</v>
      </c>
      <c r="I583" s="132"/>
    </row>
    <row r="584" spans="1:9" ht="33" customHeight="1">
      <c r="A584" s="10">
        <v>1198</v>
      </c>
      <c r="B584" s="4">
        <v>11001</v>
      </c>
      <c r="C584" s="40" t="s">
        <v>666</v>
      </c>
      <c r="D584" s="172">
        <v>41078.1</v>
      </c>
      <c r="E584" s="172">
        <v>41436.199999999997</v>
      </c>
      <c r="F584" s="172">
        <v>63436.2</v>
      </c>
      <c r="G584" s="172">
        <v>63436.2</v>
      </c>
      <c r="H584" s="191">
        <v>73436.2</v>
      </c>
      <c r="I584" s="119"/>
    </row>
    <row r="585" spans="1:9" ht="66">
      <c r="A585" s="10">
        <v>1198</v>
      </c>
      <c r="B585" s="4">
        <v>11002</v>
      </c>
      <c r="C585" s="40" t="s">
        <v>667</v>
      </c>
      <c r="D585" s="172">
        <v>17100</v>
      </c>
      <c r="E585" s="172">
        <v>17100</v>
      </c>
      <c r="F585" s="172">
        <v>17100</v>
      </c>
      <c r="G585" s="172">
        <v>17100</v>
      </c>
      <c r="H585" s="191">
        <v>17100</v>
      </c>
      <c r="I585" s="119"/>
    </row>
    <row r="586" spans="1:9" ht="66">
      <c r="A586" s="10">
        <v>1198</v>
      </c>
      <c r="B586" s="4">
        <v>11004</v>
      </c>
      <c r="C586" s="40" t="s">
        <v>668</v>
      </c>
      <c r="D586" s="172">
        <v>12000</v>
      </c>
      <c r="E586" s="172">
        <v>12000</v>
      </c>
      <c r="F586" s="172">
        <v>15000</v>
      </c>
      <c r="G586" s="172">
        <v>15000</v>
      </c>
      <c r="H586" s="191">
        <v>15000</v>
      </c>
      <c r="I586" s="119"/>
    </row>
    <row r="587" spans="1:9" ht="33">
      <c r="A587" s="10">
        <v>1198</v>
      </c>
      <c r="B587" s="4">
        <v>11005</v>
      </c>
      <c r="C587" s="40" t="s">
        <v>669</v>
      </c>
      <c r="D587" s="172">
        <v>256083.1</v>
      </c>
      <c r="E587" s="172">
        <v>257317.6</v>
      </c>
      <c r="F587" s="172">
        <v>280401.59999999998</v>
      </c>
      <c r="G587" s="172">
        <v>280401.59999999998</v>
      </c>
      <c r="H587" s="191">
        <v>280401.59999999998</v>
      </c>
      <c r="I587" s="119"/>
    </row>
    <row r="588" spans="1:9">
      <c r="A588" s="10">
        <v>1198</v>
      </c>
      <c r="B588" s="4">
        <v>11006</v>
      </c>
      <c r="C588" s="40" t="s">
        <v>670</v>
      </c>
      <c r="D588" s="172">
        <v>0</v>
      </c>
      <c r="E588" s="172">
        <v>70611.100000000006</v>
      </c>
      <c r="F588" s="172">
        <v>70611.100000000006</v>
      </c>
      <c r="G588" s="172">
        <v>70611.100000000006</v>
      </c>
      <c r="H588" s="191">
        <v>70611.100000000006</v>
      </c>
      <c r="I588" s="119"/>
    </row>
    <row r="589" spans="1:9">
      <c r="A589" s="10">
        <v>1198</v>
      </c>
      <c r="B589" s="4">
        <v>11007</v>
      </c>
      <c r="C589" s="40" t="s">
        <v>671</v>
      </c>
      <c r="D589" s="172">
        <v>0</v>
      </c>
      <c r="E589" s="172">
        <v>32795</v>
      </c>
      <c r="F589" s="172">
        <v>51006.6</v>
      </c>
      <c r="G589" s="172">
        <v>51006.6</v>
      </c>
      <c r="H589" s="191">
        <v>51006.6</v>
      </c>
      <c r="I589" s="119"/>
    </row>
    <row r="590" spans="1:9" ht="49.5">
      <c r="A590" s="10">
        <v>1198</v>
      </c>
      <c r="B590" s="4">
        <v>11008</v>
      </c>
      <c r="C590" s="40" t="s">
        <v>672</v>
      </c>
      <c r="D590" s="172">
        <v>0</v>
      </c>
      <c r="E590" s="172">
        <v>138365</v>
      </c>
      <c r="F590" s="172">
        <v>138365</v>
      </c>
      <c r="G590" s="172">
        <v>138365</v>
      </c>
      <c r="H590" s="191">
        <v>138365</v>
      </c>
      <c r="I590" s="119"/>
    </row>
    <row r="591" spans="1:9" ht="33">
      <c r="A591" s="10">
        <v>1198</v>
      </c>
      <c r="B591" s="4">
        <v>11009</v>
      </c>
      <c r="C591" s="40" t="s">
        <v>673</v>
      </c>
      <c r="D591" s="172">
        <v>0</v>
      </c>
      <c r="E591" s="172">
        <v>240000</v>
      </c>
      <c r="F591" s="172">
        <v>240000</v>
      </c>
      <c r="G591" s="172">
        <v>240000</v>
      </c>
      <c r="H591" s="172">
        <v>240000</v>
      </c>
      <c r="I591" s="119"/>
    </row>
    <row r="592" spans="1:9">
      <c r="A592" s="32">
        <v>1215</v>
      </c>
      <c r="B592" s="654" t="s">
        <v>674</v>
      </c>
      <c r="C592" s="655"/>
      <c r="D592" s="180">
        <f>SUM(D593:D605)</f>
        <v>366554.42000000004</v>
      </c>
      <c r="E592" s="180">
        <f>SUM(E593:E605)</f>
        <v>403115.1</v>
      </c>
      <c r="F592" s="180">
        <f>SUM(F593:F605)</f>
        <v>659597.5</v>
      </c>
      <c r="G592" s="180">
        <f>SUM(G593:G605)</f>
        <v>639052.5</v>
      </c>
      <c r="H592" s="198">
        <f>SUM(H593:H605)</f>
        <v>1806057</v>
      </c>
      <c r="I592" s="132"/>
    </row>
    <row r="593" spans="1:9" ht="82.5" customHeight="1">
      <c r="A593" s="47">
        <v>1215</v>
      </c>
      <c r="B593" s="282">
        <v>11001</v>
      </c>
      <c r="C593" s="40" t="s">
        <v>675</v>
      </c>
      <c r="D593" s="193">
        <v>0</v>
      </c>
      <c r="E593" s="193">
        <v>28900</v>
      </c>
      <c r="F593" s="172">
        <v>0</v>
      </c>
      <c r="G593" s="172">
        <v>28900</v>
      </c>
      <c r="H593" s="191">
        <v>0</v>
      </c>
      <c r="I593" s="25" t="s">
        <v>676</v>
      </c>
    </row>
    <row r="594" spans="1:9" ht="49.5">
      <c r="A594" s="47">
        <v>1215</v>
      </c>
      <c r="B594" s="282">
        <v>11002</v>
      </c>
      <c r="C594" s="40" t="s">
        <v>677</v>
      </c>
      <c r="D594" s="193">
        <v>31700</v>
      </c>
      <c r="E594" s="193">
        <v>39500</v>
      </c>
      <c r="F594" s="172">
        <v>39500</v>
      </c>
      <c r="G594" s="172">
        <v>39500</v>
      </c>
      <c r="H594" s="191">
        <v>39500</v>
      </c>
      <c r="I594" s="25" t="s">
        <v>678</v>
      </c>
    </row>
    <row r="595" spans="1:9" ht="82.5">
      <c r="A595" s="47">
        <v>1215</v>
      </c>
      <c r="B595" s="282">
        <v>11003</v>
      </c>
      <c r="C595" s="40" t="s">
        <v>679</v>
      </c>
      <c r="D595" s="193">
        <v>52783.450000000004</v>
      </c>
      <c r="E595" s="193">
        <v>30000</v>
      </c>
      <c r="F595" s="172">
        <v>107000</v>
      </c>
      <c r="G595" s="172">
        <v>107000</v>
      </c>
      <c r="H595" s="191">
        <v>107000</v>
      </c>
      <c r="I595" s="25" t="s">
        <v>680</v>
      </c>
    </row>
    <row r="596" spans="1:9" ht="66">
      <c r="A596" s="47">
        <v>1215</v>
      </c>
      <c r="B596" s="282">
        <v>11005</v>
      </c>
      <c r="C596" s="40" t="s">
        <v>681</v>
      </c>
      <c r="D596" s="193">
        <v>0</v>
      </c>
      <c r="E596" s="193">
        <v>25000</v>
      </c>
      <c r="F596" s="172">
        <v>0</v>
      </c>
      <c r="G596" s="172">
        <v>0</v>
      </c>
      <c r="H596" s="191">
        <v>0</v>
      </c>
      <c r="I596" s="125"/>
    </row>
    <row r="597" spans="1:9" ht="115.5">
      <c r="A597" s="47">
        <v>1215</v>
      </c>
      <c r="B597" s="282">
        <v>12001</v>
      </c>
      <c r="C597" s="40" t="s">
        <v>682</v>
      </c>
      <c r="D597" s="193">
        <v>134634</v>
      </c>
      <c r="E597" s="193">
        <v>141720</v>
      </c>
      <c r="F597" s="172">
        <v>141720</v>
      </c>
      <c r="G597" s="172">
        <v>157720</v>
      </c>
      <c r="H597" s="191">
        <v>157720</v>
      </c>
      <c r="I597" s="25" t="s">
        <v>683</v>
      </c>
    </row>
    <row r="598" spans="1:9" ht="82.5">
      <c r="A598" s="47">
        <v>1215</v>
      </c>
      <c r="B598" s="282">
        <v>12002</v>
      </c>
      <c r="C598" s="40" t="s">
        <v>684</v>
      </c>
      <c r="D598" s="193">
        <v>4000</v>
      </c>
      <c r="E598" s="193">
        <v>0</v>
      </c>
      <c r="F598" s="172">
        <v>0</v>
      </c>
      <c r="G598" s="172">
        <v>0</v>
      </c>
      <c r="H598" s="192">
        <v>0</v>
      </c>
      <c r="I598" s="125"/>
    </row>
    <row r="599" spans="1:9" ht="33">
      <c r="A599" s="47">
        <v>1215</v>
      </c>
      <c r="B599" s="282">
        <v>12003</v>
      </c>
      <c r="C599" s="40" t="s">
        <v>685</v>
      </c>
      <c r="D599" s="193">
        <v>0</v>
      </c>
      <c r="E599" s="193">
        <v>7062.6</v>
      </c>
      <c r="F599" s="172">
        <v>20000</v>
      </c>
      <c r="G599" s="172">
        <v>25000</v>
      </c>
      <c r="H599" s="191">
        <v>30000</v>
      </c>
      <c r="I599" s="25" t="s">
        <v>686</v>
      </c>
    </row>
    <row r="600" spans="1:9" ht="66">
      <c r="A600" s="47">
        <v>1215</v>
      </c>
      <c r="B600" s="282">
        <v>12004</v>
      </c>
      <c r="C600" s="40" t="s">
        <v>687</v>
      </c>
      <c r="D600" s="193">
        <v>4550</v>
      </c>
      <c r="E600" s="193">
        <v>4560</v>
      </c>
      <c r="F600" s="172">
        <v>4560</v>
      </c>
      <c r="G600" s="172">
        <v>4560</v>
      </c>
      <c r="H600" s="191">
        <v>4560</v>
      </c>
      <c r="I600" s="25" t="s">
        <v>688</v>
      </c>
    </row>
    <row r="601" spans="1:9" ht="49.5">
      <c r="A601" s="47">
        <v>1215</v>
      </c>
      <c r="B601" s="282">
        <v>12005</v>
      </c>
      <c r="C601" s="40" t="s">
        <v>689</v>
      </c>
      <c r="D601" s="193">
        <v>117861.57</v>
      </c>
      <c r="E601" s="193">
        <v>104372.5</v>
      </c>
      <c r="F601" s="193">
        <v>104372.5</v>
      </c>
      <c r="G601" s="193">
        <v>104372.5</v>
      </c>
      <c r="H601" s="191">
        <v>112607</v>
      </c>
      <c r="I601" s="25" t="s">
        <v>690</v>
      </c>
    </row>
    <row r="602" spans="1:9" ht="49.5">
      <c r="A602" s="47">
        <v>1215</v>
      </c>
      <c r="B602" s="282">
        <v>12006</v>
      </c>
      <c r="C602" s="40" t="s">
        <v>691</v>
      </c>
      <c r="D602" s="193">
        <v>17025.400000000001</v>
      </c>
      <c r="E602" s="193">
        <v>18000</v>
      </c>
      <c r="F602" s="172">
        <v>18000</v>
      </c>
      <c r="G602" s="172">
        <v>18000</v>
      </c>
      <c r="H602" s="191">
        <v>18000</v>
      </c>
      <c r="I602" s="125"/>
    </row>
    <row r="603" spans="1:9" ht="33">
      <c r="A603" s="47">
        <v>1215</v>
      </c>
      <c r="B603" s="282">
        <v>12007</v>
      </c>
      <c r="C603" s="40" t="s">
        <v>692</v>
      </c>
      <c r="D603" s="193">
        <v>4000</v>
      </c>
      <c r="E603" s="193">
        <v>4000</v>
      </c>
      <c r="F603" s="172">
        <v>4000</v>
      </c>
      <c r="G603" s="172">
        <v>4000</v>
      </c>
      <c r="H603" s="191">
        <v>4000</v>
      </c>
      <c r="I603" s="125"/>
    </row>
    <row r="604" spans="1:9" ht="49.5">
      <c r="A604" s="47">
        <v>1215</v>
      </c>
      <c r="B604" s="282" t="s">
        <v>413</v>
      </c>
      <c r="C604" s="40" t="s">
        <v>693</v>
      </c>
      <c r="D604" s="193">
        <v>0</v>
      </c>
      <c r="E604" s="193">
        <v>0</v>
      </c>
      <c r="F604" s="172">
        <v>220445</v>
      </c>
      <c r="G604" s="172">
        <v>0</v>
      </c>
      <c r="H604" s="191">
        <v>1332670</v>
      </c>
      <c r="I604" s="25" t="s">
        <v>690</v>
      </c>
    </row>
    <row r="605" spans="1:9" ht="66">
      <c r="A605" s="47">
        <v>1215</v>
      </c>
      <c r="B605" s="282" t="s">
        <v>413</v>
      </c>
      <c r="C605" s="40" t="s">
        <v>694</v>
      </c>
      <c r="D605" s="193">
        <v>0</v>
      </c>
      <c r="E605" s="193">
        <v>0</v>
      </c>
      <c r="F605" s="172">
        <v>0</v>
      </c>
      <c r="G605" s="172">
        <v>150000</v>
      </c>
      <c r="H605" s="191">
        <v>0</v>
      </c>
      <c r="I605" s="125"/>
    </row>
    <row r="606" spans="1:9" ht="33">
      <c r="A606" s="47">
        <v>1215</v>
      </c>
      <c r="B606" s="282" t="s">
        <v>413</v>
      </c>
      <c r="C606" s="40" t="s">
        <v>695</v>
      </c>
      <c r="D606" s="181">
        <v>0</v>
      </c>
      <c r="E606" s="181">
        <v>0</v>
      </c>
      <c r="F606" s="181">
        <v>3800</v>
      </c>
      <c r="G606" s="181">
        <v>3800</v>
      </c>
      <c r="H606" s="199"/>
      <c r="I606" s="125"/>
    </row>
    <row r="607" spans="1:9" ht="99">
      <c r="A607" s="47">
        <v>1215</v>
      </c>
      <c r="B607" s="282" t="s">
        <v>413</v>
      </c>
      <c r="C607" s="40" t="s">
        <v>696</v>
      </c>
      <c r="D607" s="181">
        <v>0</v>
      </c>
      <c r="E607" s="181">
        <v>0</v>
      </c>
      <c r="F607" s="181">
        <v>8000</v>
      </c>
      <c r="G607" s="181">
        <v>8000</v>
      </c>
      <c r="H607" s="199"/>
      <c r="I607" s="125"/>
    </row>
    <row r="608" spans="1:9" ht="115.5">
      <c r="A608" s="47">
        <v>1215</v>
      </c>
      <c r="B608" s="282" t="s">
        <v>413</v>
      </c>
      <c r="C608" s="40" t="s">
        <v>697</v>
      </c>
      <c r="D608" s="181">
        <v>0</v>
      </c>
      <c r="E608" s="181">
        <v>0</v>
      </c>
      <c r="F608" s="181">
        <v>3800</v>
      </c>
      <c r="G608" s="181">
        <v>3800</v>
      </c>
      <c r="H608" s="199"/>
      <c r="I608" s="125"/>
    </row>
    <row r="609" spans="1:9" ht="66">
      <c r="A609" s="32">
        <v>1227</v>
      </c>
      <c r="B609" s="281"/>
      <c r="C609" s="235" t="s">
        <v>698</v>
      </c>
      <c r="D609" s="180">
        <f>SUM(D610:D612)</f>
        <v>592001.60000000009</v>
      </c>
      <c r="E609" s="180">
        <f>SUM(E610:E612)</f>
        <v>736296.1</v>
      </c>
      <c r="F609" s="180">
        <f>SUM(F610:F612)</f>
        <v>813257.23</v>
      </c>
      <c r="G609" s="180">
        <f>SUM(G610:G612)</f>
        <v>901264.8</v>
      </c>
      <c r="H609" s="198">
        <f>SUM(H610:H612)</f>
        <v>961264.8</v>
      </c>
      <c r="I609" s="132"/>
    </row>
    <row r="610" spans="1:9" ht="148.5">
      <c r="A610" s="47">
        <v>1227</v>
      </c>
      <c r="B610" s="282">
        <v>11001</v>
      </c>
      <c r="C610" s="40" t="s">
        <v>699</v>
      </c>
      <c r="D610" s="193">
        <v>218934.30000000002</v>
      </c>
      <c r="E610" s="193">
        <v>331581.8</v>
      </c>
      <c r="F610" s="172">
        <v>391581.8</v>
      </c>
      <c r="G610" s="172">
        <v>451581.8</v>
      </c>
      <c r="H610" s="192">
        <v>511581.8</v>
      </c>
      <c r="I610" s="25" t="s">
        <v>700</v>
      </c>
    </row>
    <row r="611" spans="1:9" ht="33">
      <c r="A611" s="47">
        <v>1227</v>
      </c>
      <c r="B611" s="282">
        <v>11002</v>
      </c>
      <c r="C611" s="40" t="s">
        <v>701</v>
      </c>
      <c r="D611" s="193">
        <v>231467.30000000002</v>
      </c>
      <c r="E611" s="193">
        <v>263114.3</v>
      </c>
      <c r="F611" s="172">
        <v>280075.43</v>
      </c>
      <c r="G611" s="172">
        <v>308083</v>
      </c>
      <c r="H611" s="191">
        <v>308083</v>
      </c>
      <c r="I611" s="125"/>
    </row>
    <row r="612" spans="1:9" ht="49.5">
      <c r="A612" s="47">
        <v>1227</v>
      </c>
      <c r="B612" s="282">
        <v>11003</v>
      </c>
      <c r="C612" s="40" t="s">
        <v>702</v>
      </c>
      <c r="D612" s="193">
        <v>141600</v>
      </c>
      <c r="E612" s="193">
        <v>141600</v>
      </c>
      <c r="F612" s="172">
        <v>141600</v>
      </c>
      <c r="G612" s="172">
        <v>141600</v>
      </c>
      <c r="H612" s="192">
        <v>141600</v>
      </c>
      <c r="I612" s="25" t="s">
        <v>703</v>
      </c>
    </row>
    <row r="613" spans="1:9">
      <c r="A613" s="32">
        <v>1238</v>
      </c>
      <c r="B613" s="654" t="s">
        <v>704</v>
      </c>
      <c r="C613" s="655"/>
      <c r="D613" s="180">
        <f>+SUM(D614:D625,D626:D627)</f>
        <v>0</v>
      </c>
      <c r="E613" s="180">
        <f>+SUM(E614:E625,E626:E627)</f>
        <v>2747633.3</v>
      </c>
      <c r="F613" s="180">
        <f>+SUM(F614:F625,F626:F627)</f>
        <v>20016214.736694664</v>
      </c>
      <c r="G613" s="180">
        <f>+SUM(G614:G625,G626:G627)</f>
        <v>20703320.55719813</v>
      </c>
      <c r="H613" s="180">
        <f>+SUM(H614:H625,H626:H627)</f>
        <v>21400334.28719813</v>
      </c>
      <c r="I613" s="132"/>
    </row>
    <row r="614" spans="1:9" ht="33">
      <c r="A614" s="47">
        <v>1238</v>
      </c>
      <c r="B614" s="282" t="s">
        <v>70</v>
      </c>
      <c r="C614" s="40" t="s">
        <v>705</v>
      </c>
      <c r="D614" s="193">
        <v>0</v>
      </c>
      <c r="E614" s="193">
        <v>831707.5</v>
      </c>
      <c r="F614" s="193">
        <v>1141984.0596946671</v>
      </c>
      <c r="G614" s="193">
        <v>1185308.8841981334</v>
      </c>
      <c r="H614" s="192">
        <v>1185308.8841981334</v>
      </c>
      <c r="I614" s="125"/>
    </row>
    <row r="615" spans="1:9" ht="66">
      <c r="A615" s="47">
        <v>1238</v>
      </c>
      <c r="B615" s="282" t="s">
        <v>233</v>
      </c>
      <c r="C615" s="40" t="s">
        <v>706</v>
      </c>
      <c r="D615" s="193">
        <v>0</v>
      </c>
      <c r="E615" s="193">
        <v>36048</v>
      </c>
      <c r="F615" s="193">
        <v>36048</v>
      </c>
      <c r="G615" s="193">
        <v>36048</v>
      </c>
      <c r="H615" s="192">
        <v>36048</v>
      </c>
      <c r="I615" s="125"/>
    </row>
    <row r="616" spans="1:9" ht="66">
      <c r="A616" s="47">
        <v>1238</v>
      </c>
      <c r="B616" s="282" t="s">
        <v>257</v>
      </c>
      <c r="C616" s="40" t="s">
        <v>707</v>
      </c>
      <c r="D616" s="193">
        <v>0</v>
      </c>
      <c r="E616" s="172">
        <v>1839197.8</v>
      </c>
      <c r="F616" s="172">
        <v>10821294</v>
      </c>
      <c r="G616" s="172">
        <v>10821294</v>
      </c>
      <c r="H616" s="191">
        <v>10821294</v>
      </c>
      <c r="I616" s="119"/>
    </row>
    <row r="617" spans="1:9" ht="115.5">
      <c r="A617" s="47">
        <v>1238</v>
      </c>
      <c r="B617" s="282" t="s">
        <v>708</v>
      </c>
      <c r="C617" s="40" t="s">
        <v>709</v>
      </c>
      <c r="D617" s="193">
        <v>0</v>
      </c>
      <c r="E617" s="172">
        <v>40680</v>
      </c>
      <c r="F617" s="172">
        <v>54000</v>
      </c>
      <c r="G617" s="172">
        <v>72000</v>
      </c>
      <c r="H617" s="191">
        <v>90000</v>
      </c>
      <c r="I617" s="25" t="s">
        <v>710</v>
      </c>
    </row>
    <row r="618" spans="1:9" ht="99">
      <c r="A618" s="47">
        <v>1238</v>
      </c>
      <c r="B618" s="4" t="s">
        <v>413</v>
      </c>
      <c r="C618" s="40" t="s">
        <v>711</v>
      </c>
      <c r="D618" s="172">
        <v>0</v>
      </c>
      <c r="E618" s="172">
        <v>0</v>
      </c>
      <c r="F618" s="172">
        <v>32725</v>
      </c>
      <c r="G618" s="172">
        <v>32725</v>
      </c>
      <c r="H618" s="191">
        <v>32725</v>
      </c>
      <c r="I618" s="119"/>
    </row>
    <row r="619" spans="1:9" ht="115.5">
      <c r="A619" s="47">
        <v>1238</v>
      </c>
      <c r="B619" s="4" t="s">
        <v>413</v>
      </c>
      <c r="C619" s="236" t="s">
        <v>712</v>
      </c>
      <c r="D619" s="172">
        <v>0</v>
      </c>
      <c r="E619" s="172">
        <v>0</v>
      </c>
      <c r="F619" s="192">
        <v>36048</v>
      </c>
      <c r="G619" s="192">
        <v>36048</v>
      </c>
      <c r="H619" s="192">
        <v>36048</v>
      </c>
      <c r="I619" s="119"/>
    </row>
    <row r="620" spans="1:9" ht="115.5">
      <c r="A620" s="47">
        <v>1238</v>
      </c>
      <c r="B620" s="4" t="s">
        <v>413</v>
      </c>
      <c r="C620" s="236" t="s">
        <v>713</v>
      </c>
      <c r="D620" s="172">
        <v>0</v>
      </c>
      <c r="E620" s="172">
        <v>0</v>
      </c>
      <c r="F620" s="192">
        <v>54000</v>
      </c>
      <c r="G620" s="193">
        <v>72000</v>
      </c>
      <c r="H620" s="192">
        <v>90000</v>
      </c>
      <c r="I620" s="25" t="s">
        <v>710</v>
      </c>
    </row>
    <row r="621" spans="1:9" ht="115.5">
      <c r="A621" s="47">
        <v>1238</v>
      </c>
      <c r="B621" s="4" t="s">
        <v>413</v>
      </c>
      <c r="C621" s="236" t="s">
        <v>714</v>
      </c>
      <c r="D621" s="172">
        <v>0</v>
      </c>
      <c r="E621" s="172">
        <v>0</v>
      </c>
      <c r="F621" s="192">
        <v>710919</v>
      </c>
      <c r="G621" s="192">
        <v>710919</v>
      </c>
      <c r="H621" s="192">
        <v>710919</v>
      </c>
      <c r="I621" s="119"/>
    </row>
    <row r="622" spans="1:9" ht="66">
      <c r="A622" s="47">
        <v>1238</v>
      </c>
      <c r="B622" s="4" t="s">
        <v>413</v>
      </c>
      <c r="C622" s="236" t="s">
        <v>715</v>
      </c>
      <c r="D622" s="172">
        <v>0</v>
      </c>
      <c r="E622" s="172">
        <v>0</v>
      </c>
      <c r="F622" s="192">
        <v>6704775</v>
      </c>
      <c r="G622" s="192">
        <v>6704775</v>
      </c>
      <c r="H622" s="192">
        <v>6704775</v>
      </c>
      <c r="I622" s="119"/>
    </row>
    <row r="623" spans="1:9" ht="66">
      <c r="A623" s="47">
        <v>1238</v>
      </c>
      <c r="B623" s="4" t="s">
        <v>413</v>
      </c>
      <c r="C623" s="236" t="s">
        <v>716</v>
      </c>
      <c r="D623" s="172">
        <v>0</v>
      </c>
      <c r="E623" s="172">
        <v>0</v>
      </c>
      <c r="F623" s="192">
        <v>2688.5839999999998</v>
      </c>
      <c r="G623" s="192">
        <v>3584.779</v>
      </c>
      <c r="H623" s="192">
        <v>4480.9740000000002</v>
      </c>
      <c r="I623" s="119"/>
    </row>
    <row r="624" spans="1:9" ht="99">
      <c r="A624" s="47">
        <v>1238</v>
      </c>
      <c r="B624" s="4" t="s">
        <v>413</v>
      </c>
      <c r="C624" s="236" t="s">
        <v>717</v>
      </c>
      <c r="D624" s="172">
        <v>0</v>
      </c>
      <c r="E624" s="172">
        <v>0</v>
      </c>
      <c r="F624" s="192">
        <v>393772.5</v>
      </c>
      <c r="G624" s="192">
        <v>1000395</v>
      </c>
      <c r="H624" s="192">
        <v>1660230</v>
      </c>
      <c r="I624" s="119"/>
    </row>
    <row r="625" spans="1:9" ht="49.5">
      <c r="A625" s="47">
        <v>1238</v>
      </c>
      <c r="B625" s="4" t="s">
        <v>413</v>
      </c>
      <c r="C625" s="236" t="s">
        <v>718</v>
      </c>
      <c r="D625" s="172">
        <v>0</v>
      </c>
      <c r="E625" s="172">
        <v>0</v>
      </c>
      <c r="F625" s="192">
        <v>16800</v>
      </c>
      <c r="G625" s="192">
        <v>16800</v>
      </c>
      <c r="H625" s="192">
        <v>16800</v>
      </c>
      <c r="I625" s="119"/>
    </row>
    <row r="626" spans="1:9" ht="99">
      <c r="A626" s="47">
        <v>1238</v>
      </c>
      <c r="B626" s="4" t="s">
        <v>413</v>
      </c>
      <c r="C626" s="236" t="s">
        <v>719</v>
      </c>
      <c r="D626" s="172">
        <v>0</v>
      </c>
      <c r="E626" s="172">
        <v>0</v>
      </c>
      <c r="F626" s="192">
        <v>10692.2</v>
      </c>
      <c r="G626" s="192">
        <v>10692.2</v>
      </c>
      <c r="H626" s="192">
        <v>10692.2</v>
      </c>
      <c r="I626" s="119"/>
    </row>
    <row r="627" spans="1:9" ht="99">
      <c r="A627" s="47">
        <v>1238</v>
      </c>
      <c r="B627" s="4" t="s">
        <v>413</v>
      </c>
      <c r="C627" s="236" t="s">
        <v>720</v>
      </c>
      <c r="D627" s="172">
        <v>0</v>
      </c>
      <c r="E627" s="172">
        <v>0</v>
      </c>
      <c r="F627" s="192">
        <v>468.39299999999997</v>
      </c>
      <c r="G627" s="192">
        <v>730.69399999999996</v>
      </c>
      <c r="H627" s="192">
        <v>1013.229</v>
      </c>
      <c r="I627" s="119"/>
    </row>
    <row r="628" spans="1:9">
      <c r="A628" s="685" t="s">
        <v>9</v>
      </c>
      <c r="B628" s="686"/>
      <c r="C628" s="687"/>
      <c r="D628" s="177">
        <f>D629+D631+D636+D638+D647+D650+D653+D656+D658+D660+D665+D671+D676+D685+D688+D692+D694+D696+D698</f>
        <v>18585304.283919998</v>
      </c>
      <c r="E628" s="177">
        <f>E629+E631+E636+E638+E647+E650+E653+E656+E658+E660+E665+E671+E676+E685+E688+E692+E694+E696+E698</f>
        <v>128841530.3</v>
      </c>
      <c r="F628" s="177">
        <f>F629+F631+F636+F638+F647+F650+F653+F656+F658+F660+F665+F671+F676+F685+F688+F692+F694+F696+F698</f>
        <v>159032027.38</v>
      </c>
      <c r="G628" s="177">
        <f>G629+G631+G636+G638+G647+G650+G653+G656+G658+G660+G665+G671+G676+G685+G688+G692+G694+G696+G698</f>
        <v>181896200.80000001</v>
      </c>
      <c r="H628" s="177">
        <f>H629+H631+H636+H638+H647+H650+H653+H656+H658+H660+H665+H671+H676+H685+H688+H692+H694+H696+H698</f>
        <v>197360974.43600002</v>
      </c>
      <c r="I628" s="113"/>
    </row>
    <row r="629" spans="1:9">
      <c r="A629" s="35">
        <v>1041</v>
      </c>
      <c r="B629" s="688" t="s">
        <v>378</v>
      </c>
      <c r="C629" s="689"/>
      <c r="D629" s="183">
        <f>SUM(D630)</f>
        <v>59524</v>
      </c>
      <c r="E629" s="183">
        <f>SUM(E630)</f>
        <v>300000</v>
      </c>
      <c r="F629" s="183">
        <f>SUM(F630)</f>
        <v>500000</v>
      </c>
      <c r="G629" s="183">
        <f>SUM(G630)</f>
        <v>500000</v>
      </c>
      <c r="H629" s="200">
        <f>SUM(H630)</f>
        <v>500000</v>
      </c>
      <c r="I629" s="133"/>
    </row>
    <row r="630" spans="1:9" ht="99">
      <c r="A630" s="295">
        <v>1041</v>
      </c>
      <c r="B630" s="97">
        <v>32001</v>
      </c>
      <c r="C630" s="237" t="s">
        <v>725</v>
      </c>
      <c r="D630" s="201">
        <v>59524</v>
      </c>
      <c r="E630" s="201">
        <v>300000</v>
      </c>
      <c r="F630" s="202">
        <v>500000</v>
      </c>
      <c r="G630" s="202">
        <v>500000</v>
      </c>
      <c r="H630" s="203">
        <v>500000</v>
      </c>
      <c r="I630" s="134"/>
    </row>
    <row r="631" spans="1:9">
      <c r="A631" s="35">
        <v>1045</v>
      </c>
      <c r="B631" s="650" t="s">
        <v>429</v>
      </c>
      <c r="C631" s="651"/>
      <c r="D631" s="204">
        <f>SUM(D632:D635)</f>
        <v>753445.67</v>
      </c>
      <c r="E631" s="204">
        <f>SUM(E632:E635)</f>
        <v>1998975.5</v>
      </c>
      <c r="F631" s="204">
        <f>SUM(F632:F635)</f>
        <v>4117999.0799999996</v>
      </c>
      <c r="G631" s="204">
        <f>SUM(G632:G635)</f>
        <v>5210441.63</v>
      </c>
      <c r="H631" s="205">
        <f>SUM(H632:H635)</f>
        <v>5339332.7</v>
      </c>
      <c r="I631" s="133"/>
    </row>
    <row r="632" spans="1:9" ht="66" customHeight="1">
      <c r="A632" s="295">
        <v>1045</v>
      </c>
      <c r="B632" s="98">
        <v>32001</v>
      </c>
      <c r="C632" s="238" t="s">
        <v>726</v>
      </c>
      <c r="D632" s="201">
        <v>437218.43000000005</v>
      </c>
      <c r="E632" s="201">
        <v>855233.3</v>
      </c>
      <c r="F632" s="202">
        <v>1451012.7799999998</v>
      </c>
      <c r="G632" s="202">
        <v>1500000</v>
      </c>
      <c r="H632" s="203">
        <v>1500000</v>
      </c>
      <c r="I632" s="134"/>
    </row>
    <row r="633" spans="1:9" ht="99">
      <c r="A633" s="295">
        <v>1045</v>
      </c>
      <c r="B633" s="98">
        <v>32004</v>
      </c>
      <c r="C633" s="238" t="s">
        <v>727</v>
      </c>
      <c r="D633" s="201">
        <v>0</v>
      </c>
      <c r="E633" s="201">
        <v>161123.20000000001</v>
      </c>
      <c r="F633" s="202">
        <v>255733.2</v>
      </c>
      <c r="G633" s="202">
        <v>668367.83000000007</v>
      </c>
      <c r="H633" s="203">
        <v>426222</v>
      </c>
      <c r="I633" s="134"/>
    </row>
    <row r="634" spans="1:9" ht="82.5">
      <c r="A634" s="295">
        <v>1045</v>
      </c>
      <c r="B634" s="98">
        <v>32005</v>
      </c>
      <c r="C634" s="238" t="s">
        <v>728</v>
      </c>
      <c r="D634" s="201">
        <v>316227.24</v>
      </c>
      <c r="E634" s="201">
        <v>982619</v>
      </c>
      <c r="F634" s="202">
        <v>2040216.2</v>
      </c>
      <c r="G634" s="202">
        <v>2300000</v>
      </c>
      <c r="H634" s="203">
        <v>2300000</v>
      </c>
      <c r="I634" s="134"/>
    </row>
    <row r="635" spans="1:9" ht="33">
      <c r="A635" s="295">
        <v>1045</v>
      </c>
      <c r="B635" s="99" t="s">
        <v>413</v>
      </c>
      <c r="C635" s="239" t="s">
        <v>729</v>
      </c>
      <c r="D635" s="206">
        <v>0</v>
      </c>
      <c r="E635" s="206">
        <v>0</v>
      </c>
      <c r="F635" s="207">
        <v>371036.9</v>
      </c>
      <c r="G635" s="207">
        <v>742073.8</v>
      </c>
      <c r="H635" s="208">
        <v>1113110.7</v>
      </c>
      <c r="I635" s="135" t="s">
        <v>439</v>
      </c>
    </row>
    <row r="636" spans="1:9">
      <c r="A636" s="35">
        <v>1056</v>
      </c>
      <c r="B636" s="650" t="s">
        <v>460</v>
      </c>
      <c r="C636" s="651"/>
      <c r="D636" s="204">
        <f>SUM(D637)</f>
        <v>0</v>
      </c>
      <c r="E636" s="204">
        <f>SUM(E637)</f>
        <v>0</v>
      </c>
      <c r="F636" s="204">
        <f>SUM(F637)</f>
        <v>0</v>
      </c>
      <c r="G636" s="204">
        <f>SUM(G637)</f>
        <v>799794.6</v>
      </c>
      <c r="H636" s="204">
        <f>SUM(H637)</f>
        <v>0</v>
      </c>
      <c r="I636" s="133"/>
    </row>
    <row r="637" spans="1:9" ht="49.5">
      <c r="A637" s="7">
        <v>1056</v>
      </c>
      <c r="B637" s="98">
        <v>32002</v>
      </c>
      <c r="C637" s="238" t="s">
        <v>730</v>
      </c>
      <c r="D637" s="201">
        <v>0</v>
      </c>
      <c r="E637" s="201">
        <v>0</v>
      </c>
      <c r="F637" s="202">
        <v>0</v>
      </c>
      <c r="G637" s="202">
        <v>799794.6</v>
      </c>
      <c r="H637" s="203">
        <v>0</v>
      </c>
      <c r="I637" s="134"/>
    </row>
    <row r="638" spans="1:9">
      <c r="A638" s="296">
        <v>1075</v>
      </c>
      <c r="B638" s="650" t="s">
        <v>467</v>
      </c>
      <c r="C638" s="651"/>
      <c r="D638" s="204">
        <f>SUM(D639:D646)</f>
        <v>927061.05999999994</v>
      </c>
      <c r="E638" s="204">
        <f>SUM(E639:E646)</f>
        <v>1863395.2</v>
      </c>
      <c r="F638" s="204">
        <f>SUM(F639:F646)</f>
        <v>2564668.0599999996</v>
      </c>
      <c r="G638" s="204">
        <f>SUM(G639:G646)</f>
        <v>2647056.182</v>
      </c>
      <c r="H638" s="204">
        <f>SUM(H639:H646)</f>
        <v>2707527.6694</v>
      </c>
      <c r="I638" s="133"/>
    </row>
    <row r="639" spans="1:9" ht="33" customHeight="1">
      <c r="A639" s="295">
        <v>1075</v>
      </c>
      <c r="B639" s="98">
        <v>21001</v>
      </c>
      <c r="C639" s="96" t="s">
        <v>731</v>
      </c>
      <c r="D639" s="201">
        <v>358049.72000000003</v>
      </c>
      <c r="E639" s="201">
        <v>1158941.8</v>
      </c>
      <c r="F639" s="202">
        <f>+E639*1.2</f>
        <v>1390730.16</v>
      </c>
      <c r="G639" s="202">
        <f>+F639*1.2</f>
        <v>1668876.1919999998</v>
      </c>
      <c r="H639" s="203">
        <f>+G639*1.2</f>
        <v>2002651.4303999997</v>
      </c>
      <c r="I639" s="134"/>
    </row>
    <row r="640" spans="1:9" ht="33">
      <c r="A640" s="295">
        <v>1075</v>
      </c>
      <c r="B640" s="98">
        <v>21003</v>
      </c>
      <c r="C640" s="96" t="s">
        <v>732</v>
      </c>
      <c r="D640" s="201">
        <v>19200</v>
      </c>
      <c r="E640" s="201">
        <v>0</v>
      </c>
      <c r="F640" s="201">
        <v>0</v>
      </c>
      <c r="G640" s="201">
        <v>0</v>
      </c>
      <c r="H640" s="209">
        <v>0</v>
      </c>
      <c r="I640" s="134"/>
    </row>
    <row r="641" spans="1:9" ht="66">
      <c r="A641" s="295">
        <v>1075</v>
      </c>
      <c r="B641" s="98">
        <v>21004</v>
      </c>
      <c r="C641" s="96" t="s">
        <v>733</v>
      </c>
      <c r="D641" s="201">
        <v>7325</v>
      </c>
      <c r="E641" s="201">
        <v>0</v>
      </c>
      <c r="F641" s="201">
        <v>0</v>
      </c>
      <c r="G641" s="201">
        <v>0</v>
      </c>
      <c r="H641" s="209">
        <v>0</v>
      </c>
      <c r="I641" s="134"/>
    </row>
    <row r="642" spans="1:9" ht="66">
      <c r="A642" s="295">
        <v>1075</v>
      </c>
      <c r="B642" s="98">
        <v>21005</v>
      </c>
      <c r="C642" s="96" t="s">
        <v>734</v>
      </c>
      <c r="D642" s="201">
        <v>187565</v>
      </c>
      <c r="E642" s="201">
        <v>0</v>
      </c>
      <c r="F642" s="201">
        <v>0</v>
      </c>
      <c r="G642" s="201">
        <v>0</v>
      </c>
      <c r="H642" s="209">
        <v>0</v>
      </c>
      <c r="I642" s="134"/>
    </row>
    <row r="643" spans="1:9" ht="49.5">
      <c r="A643" s="295">
        <v>1075</v>
      </c>
      <c r="B643" s="98">
        <v>32001</v>
      </c>
      <c r="C643" s="96" t="s">
        <v>735</v>
      </c>
      <c r="D643" s="201">
        <v>133140.64000000001</v>
      </c>
      <c r="E643" s="201">
        <v>527943.69999999995</v>
      </c>
      <c r="F643" s="202">
        <v>745645.39999999991</v>
      </c>
      <c r="G643" s="202">
        <v>549887.49</v>
      </c>
      <c r="H643" s="203">
        <f>+G643*1.1</f>
        <v>604876.23900000006</v>
      </c>
      <c r="I643" s="134"/>
    </row>
    <row r="644" spans="1:9" ht="66">
      <c r="A644" s="295">
        <v>1075</v>
      </c>
      <c r="B644" s="98">
        <v>32008</v>
      </c>
      <c r="C644" s="96" t="s">
        <v>736</v>
      </c>
      <c r="D644" s="201">
        <v>13768</v>
      </c>
      <c r="E644" s="201">
        <v>176509.7</v>
      </c>
      <c r="F644" s="202">
        <v>100000</v>
      </c>
      <c r="G644" s="202">
        <v>100000</v>
      </c>
      <c r="H644" s="203">
        <v>100000</v>
      </c>
      <c r="I644" s="134"/>
    </row>
    <row r="645" spans="1:9" ht="66">
      <c r="A645" s="295">
        <v>1075</v>
      </c>
      <c r="B645" s="98">
        <v>32009</v>
      </c>
      <c r="C645" s="96" t="s">
        <v>737</v>
      </c>
      <c r="D645" s="201">
        <v>11037.2</v>
      </c>
      <c r="E645" s="201">
        <v>0</v>
      </c>
      <c r="F645" s="202">
        <v>0</v>
      </c>
      <c r="G645" s="202">
        <v>0</v>
      </c>
      <c r="H645" s="203">
        <v>0</v>
      </c>
      <c r="I645" s="134"/>
    </row>
    <row r="646" spans="1:9" ht="33">
      <c r="A646" s="295">
        <v>1075</v>
      </c>
      <c r="B646" s="98">
        <v>32010</v>
      </c>
      <c r="C646" s="96" t="s">
        <v>738</v>
      </c>
      <c r="D646" s="201">
        <v>196975.5</v>
      </c>
      <c r="E646" s="201">
        <v>0</v>
      </c>
      <c r="F646" s="202">
        <f>+D646/3*5</f>
        <v>328292.5</v>
      </c>
      <c r="G646" s="202">
        <f>+D646/3*5</f>
        <v>328292.5</v>
      </c>
      <c r="H646" s="203">
        <v>0</v>
      </c>
      <c r="I646" s="134"/>
    </row>
    <row r="647" spans="1:9">
      <c r="A647" s="296">
        <v>1111</v>
      </c>
      <c r="B647" s="650" t="s">
        <v>486</v>
      </c>
      <c r="C647" s="651"/>
      <c r="D647" s="183">
        <f>SUM(D648:D649)</f>
        <v>187834.1</v>
      </c>
      <c r="E647" s="183">
        <f>SUM(E648:E649)</f>
        <v>690967.7</v>
      </c>
      <c r="F647" s="183">
        <f>SUM(F648:F649)</f>
        <v>1223330.1599999999</v>
      </c>
      <c r="G647" s="183">
        <f>SUM(G648:G649)</f>
        <v>758106.01</v>
      </c>
      <c r="H647" s="200">
        <f>SUM(H648:H649)</f>
        <v>0</v>
      </c>
      <c r="I647" s="133"/>
    </row>
    <row r="648" spans="1:9" ht="49.7" customHeight="1">
      <c r="A648" s="295">
        <v>1111</v>
      </c>
      <c r="B648" s="98">
        <v>32001</v>
      </c>
      <c r="C648" s="96" t="s">
        <v>739</v>
      </c>
      <c r="D648" s="201">
        <v>137850.4</v>
      </c>
      <c r="E648" s="201">
        <v>690967.7</v>
      </c>
      <c r="F648" s="202">
        <v>1057917.3599999999</v>
      </c>
      <c r="G648" s="202">
        <v>558106.01</v>
      </c>
      <c r="H648" s="203">
        <v>0</v>
      </c>
      <c r="I648" s="134"/>
    </row>
    <row r="649" spans="1:9" ht="99">
      <c r="A649" s="295">
        <v>1111</v>
      </c>
      <c r="B649" s="98">
        <v>32003</v>
      </c>
      <c r="C649" s="96" t="s">
        <v>740</v>
      </c>
      <c r="D649" s="201">
        <v>49983.700000000004</v>
      </c>
      <c r="E649" s="201">
        <v>0</v>
      </c>
      <c r="F649" s="202">
        <v>165412.79999999999</v>
      </c>
      <c r="G649" s="202">
        <v>200000</v>
      </c>
      <c r="H649" s="203">
        <v>0</v>
      </c>
      <c r="I649" s="134"/>
    </row>
    <row r="650" spans="1:9">
      <c r="A650" s="296">
        <v>1124</v>
      </c>
      <c r="B650" s="650" t="s">
        <v>515</v>
      </c>
      <c r="C650" s="651"/>
      <c r="D650" s="183">
        <f>SUM(D651:D652)</f>
        <v>82577.700000000012</v>
      </c>
      <c r="E650" s="183">
        <f>SUM(E651:E652)</f>
        <v>20000</v>
      </c>
      <c r="F650" s="183">
        <f>SUM(F651:F652)</f>
        <v>30000</v>
      </c>
      <c r="G650" s="183">
        <f>SUM(G651:G652)</f>
        <v>30000</v>
      </c>
      <c r="H650" s="200">
        <f>SUM(H651:H652)</f>
        <v>30000</v>
      </c>
      <c r="I650" s="133"/>
    </row>
    <row r="651" spans="1:9" ht="33" customHeight="1">
      <c r="A651" s="295">
        <v>1124</v>
      </c>
      <c r="B651" s="98">
        <v>32001</v>
      </c>
      <c r="C651" s="96" t="s">
        <v>741</v>
      </c>
      <c r="D651" s="201">
        <v>40565.700000000004</v>
      </c>
      <c r="E651" s="201">
        <v>20000</v>
      </c>
      <c r="F651" s="202">
        <v>30000</v>
      </c>
      <c r="G651" s="202">
        <v>30000</v>
      </c>
      <c r="H651" s="203">
        <v>30000</v>
      </c>
      <c r="I651" s="134"/>
    </row>
    <row r="652" spans="1:9" ht="33">
      <c r="A652" s="295">
        <v>1124</v>
      </c>
      <c r="B652" s="98">
        <v>32002</v>
      </c>
      <c r="C652" s="96" t="s">
        <v>742</v>
      </c>
      <c r="D652" s="201">
        <v>42012</v>
      </c>
      <c r="E652" s="201">
        <v>0</v>
      </c>
      <c r="F652" s="202">
        <v>0</v>
      </c>
      <c r="G652" s="202">
        <v>0</v>
      </c>
      <c r="H652" s="203">
        <v>0</v>
      </c>
      <c r="I652" s="134"/>
    </row>
    <row r="653" spans="1:9">
      <c r="A653" s="296">
        <v>1130</v>
      </c>
      <c r="B653" s="652" t="s">
        <v>523</v>
      </c>
      <c r="C653" s="653"/>
      <c r="D653" s="183">
        <f>SUM(D654:D655)</f>
        <v>51192.180000000008</v>
      </c>
      <c r="E653" s="183">
        <f>SUM(E654:E655)</f>
        <v>26610</v>
      </c>
      <c r="F653" s="183">
        <f>SUM(F654:F655)</f>
        <v>49305</v>
      </c>
      <c r="G653" s="183">
        <f>SUM(G654:G655)</f>
        <v>14305</v>
      </c>
      <c r="H653" s="200">
        <f>SUM(H654:H655)</f>
        <v>0</v>
      </c>
      <c r="I653" s="133"/>
    </row>
    <row r="654" spans="1:9" ht="99" customHeight="1">
      <c r="A654" s="295">
        <v>1130</v>
      </c>
      <c r="B654" s="98">
        <v>31001</v>
      </c>
      <c r="C654" s="96" t="s">
        <v>743</v>
      </c>
      <c r="D654" s="202">
        <v>17347.2</v>
      </c>
      <c r="E654" s="202">
        <v>26610</v>
      </c>
      <c r="F654" s="206">
        <v>14305</v>
      </c>
      <c r="G654" s="206">
        <v>14305</v>
      </c>
      <c r="H654" s="210">
        <v>0</v>
      </c>
      <c r="I654" s="134"/>
    </row>
    <row r="655" spans="1:9" ht="82.5">
      <c r="A655" s="295">
        <v>1130</v>
      </c>
      <c r="B655" s="98">
        <v>32001</v>
      </c>
      <c r="C655" s="96" t="s">
        <v>744</v>
      </c>
      <c r="D655" s="202">
        <v>33844.980000000003</v>
      </c>
      <c r="E655" s="202">
        <v>0</v>
      </c>
      <c r="F655" s="206">
        <v>35000</v>
      </c>
      <c r="G655" s="206">
        <v>0</v>
      </c>
      <c r="H655" s="210">
        <v>0</v>
      </c>
      <c r="I655" s="42" t="s">
        <v>745</v>
      </c>
    </row>
    <row r="656" spans="1:9">
      <c r="A656" s="35">
        <v>1146</v>
      </c>
      <c r="B656" s="650" t="s">
        <v>529</v>
      </c>
      <c r="C656" s="651"/>
      <c r="D656" s="183">
        <f>+D657</f>
        <v>3553387.66</v>
      </c>
      <c r="E656" s="183">
        <f>+E657</f>
        <v>0</v>
      </c>
      <c r="F656" s="183">
        <f>+F657</f>
        <v>0</v>
      </c>
      <c r="G656" s="183">
        <f>+G657</f>
        <v>0</v>
      </c>
      <c r="H656" s="200">
        <f>+H657</f>
        <v>0</v>
      </c>
      <c r="I656" s="133"/>
    </row>
    <row r="657" spans="1:9" ht="49.5">
      <c r="A657" s="7">
        <v>1146</v>
      </c>
      <c r="B657" s="98">
        <v>12010</v>
      </c>
      <c r="C657" s="96" t="s">
        <v>746</v>
      </c>
      <c r="D657" s="202">
        <v>3553387.66</v>
      </c>
      <c r="E657" s="202">
        <v>0</v>
      </c>
      <c r="F657" s="201">
        <v>0</v>
      </c>
      <c r="G657" s="201">
        <v>0</v>
      </c>
      <c r="H657" s="209">
        <v>0</v>
      </c>
      <c r="I657" s="42"/>
    </row>
    <row r="658" spans="1:9">
      <c r="A658" s="35">
        <v>1148</v>
      </c>
      <c r="B658" s="650" t="s">
        <v>573</v>
      </c>
      <c r="C658" s="651"/>
      <c r="D658" s="183">
        <f>+D659</f>
        <v>668</v>
      </c>
      <c r="E658" s="183">
        <f>+E659</f>
        <v>0</v>
      </c>
      <c r="F658" s="183">
        <f>+F659</f>
        <v>0</v>
      </c>
      <c r="G658" s="183">
        <f>+G659</f>
        <v>0</v>
      </c>
      <c r="H658" s="200">
        <f>+H659</f>
        <v>0</v>
      </c>
      <c r="I658" s="133"/>
    </row>
    <row r="659" spans="1:9" ht="33" customHeight="1">
      <c r="A659" s="295">
        <v>1148</v>
      </c>
      <c r="B659" s="98">
        <v>32005</v>
      </c>
      <c r="C659" s="96" t="s">
        <v>747</v>
      </c>
      <c r="D659" s="202">
        <v>668</v>
      </c>
      <c r="E659" s="202">
        <v>0</v>
      </c>
      <c r="F659" s="202">
        <v>0</v>
      </c>
      <c r="G659" s="202">
        <v>0</v>
      </c>
      <c r="H659" s="203">
        <v>0</v>
      </c>
      <c r="I659" s="134"/>
    </row>
    <row r="660" spans="1:9">
      <c r="A660" s="35">
        <v>1162</v>
      </c>
      <c r="B660" s="650" t="s">
        <v>587</v>
      </c>
      <c r="C660" s="651"/>
      <c r="D660" s="204">
        <f>SUM(D661:D664)</f>
        <v>1028404.48</v>
      </c>
      <c r="E660" s="204">
        <f>SUM(E661:E664)</f>
        <v>8578500</v>
      </c>
      <c r="F660" s="204">
        <f>SUM(F661:F664)</f>
        <v>11260000</v>
      </c>
      <c r="G660" s="204">
        <f>SUM(G661:G664)</f>
        <v>9900000</v>
      </c>
      <c r="H660" s="205">
        <f>SUM(H661:H664)</f>
        <v>0</v>
      </c>
      <c r="I660" s="41"/>
    </row>
    <row r="661" spans="1:9" ht="49.7" customHeight="1">
      <c r="A661" s="297">
        <v>1162</v>
      </c>
      <c r="B661" s="98">
        <v>31001</v>
      </c>
      <c r="C661" s="240" t="s">
        <v>748</v>
      </c>
      <c r="D661" s="206">
        <v>0</v>
      </c>
      <c r="E661" s="206">
        <v>4500</v>
      </c>
      <c r="F661" s="202">
        <v>0</v>
      </c>
      <c r="G661" s="202">
        <v>0</v>
      </c>
      <c r="H661" s="203">
        <v>0</v>
      </c>
      <c r="I661" s="136"/>
    </row>
    <row r="662" spans="1:9" ht="82.5">
      <c r="A662" s="295">
        <v>1162</v>
      </c>
      <c r="B662" s="98">
        <v>32003</v>
      </c>
      <c r="C662" s="96" t="s">
        <v>749</v>
      </c>
      <c r="D662" s="202">
        <v>87696</v>
      </c>
      <c r="E662" s="202">
        <v>940000</v>
      </c>
      <c r="F662" s="202">
        <v>2940000</v>
      </c>
      <c r="G662" s="202">
        <v>0</v>
      </c>
      <c r="H662" s="203">
        <v>0</v>
      </c>
      <c r="I662" s="134"/>
    </row>
    <row r="663" spans="1:9" ht="115.5">
      <c r="A663" s="295">
        <v>1162</v>
      </c>
      <c r="B663" s="98">
        <v>32004</v>
      </c>
      <c r="C663" s="96" t="s">
        <v>750</v>
      </c>
      <c r="D663" s="202">
        <v>940708.48</v>
      </c>
      <c r="E663" s="202">
        <v>4200000</v>
      </c>
      <c r="F663" s="202">
        <v>8320000</v>
      </c>
      <c r="G663" s="202">
        <v>9900000</v>
      </c>
      <c r="H663" s="203">
        <v>0</v>
      </c>
      <c r="I663" s="134"/>
    </row>
    <row r="664" spans="1:9" ht="49.5">
      <c r="A664" s="295">
        <v>1162</v>
      </c>
      <c r="B664" s="98">
        <v>32005</v>
      </c>
      <c r="C664" s="96" t="s">
        <v>751</v>
      </c>
      <c r="D664" s="202">
        <v>0</v>
      </c>
      <c r="E664" s="202">
        <v>3434000</v>
      </c>
      <c r="F664" s="202">
        <v>0</v>
      </c>
      <c r="G664" s="202">
        <v>0</v>
      </c>
      <c r="H664" s="203">
        <v>0</v>
      </c>
      <c r="I664" s="134"/>
    </row>
    <row r="665" spans="1:9">
      <c r="A665" s="35">
        <v>1163</v>
      </c>
      <c r="B665" s="650" t="s">
        <v>602</v>
      </c>
      <c r="C665" s="651"/>
      <c r="D665" s="183">
        <f>SUM(D666:D670)</f>
        <v>2243908.13</v>
      </c>
      <c r="E665" s="183">
        <f>SUM(E666:E670)</f>
        <v>3294419.7</v>
      </c>
      <c r="F665" s="183">
        <f>SUM(F666:F670)</f>
        <v>4206399.05</v>
      </c>
      <c r="G665" s="183">
        <f>SUM(G666:G670)</f>
        <v>4863684.875</v>
      </c>
      <c r="H665" s="200">
        <f>SUM(H666:H670)</f>
        <v>5849613.6125000007</v>
      </c>
      <c r="I665" s="133"/>
    </row>
    <row r="666" spans="1:9" ht="66">
      <c r="A666" s="7">
        <v>1163</v>
      </c>
      <c r="B666" s="98">
        <v>12001</v>
      </c>
      <c r="C666" s="96" t="s">
        <v>752</v>
      </c>
      <c r="D666" s="202">
        <v>1760793.73</v>
      </c>
      <c r="E666" s="202">
        <v>1534688.6</v>
      </c>
      <c r="F666" s="202">
        <v>1500000</v>
      </c>
      <c r="G666" s="202">
        <v>1500000</v>
      </c>
      <c r="H666" s="203">
        <v>1500000</v>
      </c>
      <c r="I666" s="134"/>
    </row>
    <row r="667" spans="1:9" ht="33">
      <c r="A667" s="7">
        <v>1163</v>
      </c>
      <c r="B667" s="98">
        <v>32001</v>
      </c>
      <c r="C667" s="96" t="s">
        <v>753</v>
      </c>
      <c r="D667" s="202">
        <v>409720.46</v>
      </c>
      <c r="E667" s="202">
        <v>534111.69999999995</v>
      </c>
      <c r="F667" s="202">
        <f t="shared" ref="F667:H668" si="51">+E667*1.5</f>
        <v>801167.54999999993</v>
      </c>
      <c r="G667" s="202">
        <f t="shared" si="51"/>
        <v>1201751.325</v>
      </c>
      <c r="H667" s="203">
        <f t="shared" si="51"/>
        <v>1802626.9874999998</v>
      </c>
      <c r="I667" s="134"/>
    </row>
    <row r="668" spans="1:9" ht="33">
      <c r="A668" s="7">
        <v>1163</v>
      </c>
      <c r="B668" s="98">
        <v>32002</v>
      </c>
      <c r="C668" s="96" t="s">
        <v>754</v>
      </c>
      <c r="D668" s="202">
        <v>64895.94</v>
      </c>
      <c r="E668" s="202">
        <v>342269.4</v>
      </c>
      <c r="F668" s="202">
        <f t="shared" si="51"/>
        <v>513404.10000000003</v>
      </c>
      <c r="G668" s="202">
        <f t="shared" si="51"/>
        <v>770106.15</v>
      </c>
      <c r="H668" s="203">
        <f t="shared" si="51"/>
        <v>1155159.2250000001</v>
      </c>
      <c r="I668" s="134"/>
    </row>
    <row r="669" spans="1:9" ht="33">
      <c r="A669" s="7">
        <v>1163</v>
      </c>
      <c r="B669" s="98">
        <v>32003</v>
      </c>
      <c r="C669" s="96" t="s">
        <v>755</v>
      </c>
      <c r="D669" s="202">
        <v>8498</v>
      </c>
      <c r="E669" s="202">
        <v>0</v>
      </c>
      <c r="F669" s="202">
        <v>508477.4</v>
      </c>
      <c r="G669" s="202">
        <v>508477.4</v>
      </c>
      <c r="H669" s="203">
        <v>508477.4</v>
      </c>
      <c r="I669" s="134"/>
    </row>
    <row r="670" spans="1:9" ht="82.5">
      <c r="A670" s="7">
        <v>1163</v>
      </c>
      <c r="B670" s="98">
        <v>32004</v>
      </c>
      <c r="C670" s="96" t="s">
        <v>756</v>
      </c>
      <c r="D670" s="202">
        <v>0</v>
      </c>
      <c r="E670" s="202">
        <v>883350</v>
      </c>
      <c r="F670" s="202">
        <f>+E670</f>
        <v>883350</v>
      </c>
      <c r="G670" s="202">
        <f>+E670</f>
        <v>883350</v>
      </c>
      <c r="H670" s="203">
        <f>+E670</f>
        <v>883350</v>
      </c>
      <c r="I670" s="134"/>
    </row>
    <row r="671" spans="1:9">
      <c r="A671" s="35">
        <v>1168</v>
      </c>
      <c r="B671" s="650" t="s">
        <v>622</v>
      </c>
      <c r="C671" s="651"/>
      <c r="D671" s="183">
        <f>SUM(D672:D675)</f>
        <v>243157.56</v>
      </c>
      <c r="E671" s="183">
        <f>SUM(E672:E675)</f>
        <v>1725237.9</v>
      </c>
      <c r="F671" s="183">
        <f>SUM(F672:F675)</f>
        <v>2688076.1799999997</v>
      </c>
      <c r="G671" s="183">
        <f>SUM(G672:G675)</f>
        <v>1362029.6159999999</v>
      </c>
      <c r="H671" s="200">
        <f>SUM(H672:H675)</f>
        <v>1362029.6159999999</v>
      </c>
      <c r="I671" s="133"/>
    </row>
    <row r="672" spans="1:9" ht="66">
      <c r="A672" s="295">
        <v>1168</v>
      </c>
      <c r="B672" s="98">
        <v>32001</v>
      </c>
      <c r="C672" s="96" t="s">
        <v>757</v>
      </c>
      <c r="D672" s="202">
        <v>46550.39</v>
      </c>
      <c r="E672" s="202">
        <v>441022.1</v>
      </c>
      <c r="F672" s="202">
        <v>635024.67999999993</v>
      </c>
      <c r="G672" s="202">
        <f>+F672*1.2</f>
        <v>762029.61599999992</v>
      </c>
      <c r="H672" s="203">
        <f>+G672</f>
        <v>762029.61599999992</v>
      </c>
      <c r="I672" s="134"/>
    </row>
    <row r="673" spans="1:9" ht="49.5">
      <c r="A673" s="295">
        <v>1168</v>
      </c>
      <c r="B673" s="98">
        <v>32006</v>
      </c>
      <c r="C673" s="96" t="s">
        <v>758</v>
      </c>
      <c r="D673" s="202">
        <v>0</v>
      </c>
      <c r="E673" s="202">
        <v>0</v>
      </c>
      <c r="F673" s="202">
        <v>1453051.5</v>
      </c>
      <c r="G673" s="202">
        <v>0</v>
      </c>
      <c r="H673" s="203">
        <v>0</v>
      </c>
      <c r="I673" s="42"/>
    </row>
    <row r="674" spans="1:9" ht="82.5">
      <c r="A674" s="295">
        <v>1168</v>
      </c>
      <c r="B674" s="98">
        <v>32007</v>
      </c>
      <c r="C674" s="96" t="s">
        <v>759</v>
      </c>
      <c r="D674" s="202">
        <v>196607.17</v>
      </c>
      <c r="E674" s="202">
        <v>1050870.8</v>
      </c>
      <c r="F674" s="202">
        <v>500000</v>
      </c>
      <c r="G674" s="202">
        <v>500000</v>
      </c>
      <c r="H674" s="203">
        <v>500000</v>
      </c>
      <c r="I674" s="134"/>
    </row>
    <row r="675" spans="1:9">
      <c r="A675" s="295">
        <v>1168</v>
      </c>
      <c r="B675" s="98">
        <v>32008</v>
      </c>
      <c r="C675" s="96" t="s">
        <v>760</v>
      </c>
      <c r="D675" s="202">
        <v>0</v>
      </c>
      <c r="E675" s="202">
        <v>233345</v>
      </c>
      <c r="F675" s="202">
        <v>100000</v>
      </c>
      <c r="G675" s="202">
        <v>100000</v>
      </c>
      <c r="H675" s="203">
        <v>100000</v>
      </c>
      <c r="I675" s="134"/>
    </row>
    <row r="676" spans="1:9">
      <c r="A676" s="35">
        <v>1183</v>
      </c>
      <c r="B676" s="650" t="s">
        <v>638</v>
      </c>
      <c r="C676" s="651"/>
      <c r="D676" s="183">
        <f>SUM(D677:D684)</f>
        <v>7644849.7299999995</v>
      </c>
      <c r="E676" s="183">
        <f>SUM(E677:E684)</f>
        <v>1467332.5</v>
      </c>
      <c r="F676" s="183">
        <f>SUM(F677:F684)</f>
        <v>950000</v>
      </c>
      <c r="G676" s="183">
        <f>SUM(G677:G684)</f>
        <v>650000</v>
      </c>
      <c r="H676" s="200">
        <f>SUM(H677:H684)</f>
        <v>450000</v>
      </c>
      <c r="I676" s="133"/>
    </row>
    <row r="677" spans="1:9" ht="33">
      <c r="A677" s="297">
        <v>1183</v>
      </c>
      <c r="B677" s="98">
        <v>32001</v>
      </c>
      <c r="C677" s="96" t="s">
        <v>761</v>
      </c>
      <c r="D677" s="207">
        <v>259946.66999999998</v>
      </c>
      <c r="E677" s="207">
        <v>0</v>
      </c>
      <c r="F677" s="202">
        <v>50000</v>
      </c>
      <c r="G677" s="202">
        <v>50000</v>
      </c>
      <c r="H677" s="203">
        <v>50000</v>
      </c>
      <c r="I677" s="135"/>
    </row>
    <row r="678" spans="1:9" ht="33">
      <c r="A678" s="297">
        <v>1183</v>
      </c>
      <c r="B678" s="98">
        <v>32002</v>
      </c>
      <c r="C678" s="96" t="s">
        <v>762</v>
      </c>
      <c r="D678" s="207">
        <v>690509.08</v>
      </c>
      <c r="E678" s="207">
        <v>214509</v>
      </c>
      <c r="F678" s="202">
        <v>300000</v>
      </c>
      <c r="G678" s="202">
        <v>0</v>
      </c>
      <c r="H678" s="203">
        <v>0</v>
      </c>
      <c r="I678" s="135"/>
    </row>
    <row r="679" spans="1:9" ht="66">
      <c r="A679" s="297">
        <v>1183</v>
      </c>
      <c r="B679" s="98">
        <v>32003</v>
      </c>
      <c r="C679" s="96" t="s">
        <v>763</v>
      </c>
      <c r="D679" s="207">
        <v>3296482.93</v>
      </c>
      <c r="E679" s="207">
        <v>0</v>
      </c>
      <c r="F679" s="202">
        <v>0</v>
      </c>
      <c r="G679" s="202">
        <v>0</v>
      </c>
      <c r="H679" s="203">
        <v>0</v>
      </c>
      <c r="I679" s="135"/>
    </row>
    <row r="680" spans="1:9" ht="66">
      <c r="A680" s="297">
        <v>1183</v>
      </c>
      <c r="B680" s="98">
        <v>32004</v>
      </c>
      <c r="C680" s="96" t="s">
        <v>764</v>
      </c>
      <c r="D680" s="207">
        <v>72138.59</v>
      </c>
      <c r="E680" s="207">
        <v>128576.8</v>
      </c>
      <c r="F680" s="202">
        <v>100000</v>
      </c>
      <c r="G680" s="202">
        <v>100000</v>
      </c>
      <c r="H680" s="203">
        <v>100000</v>
      </c>
      <c r="I680" s="135"/>
    </row>
    <row r="681" spans="1:9" ht="66">
      <c r="A681" s="297">
        <v>1183</v>
      </c>
      <c r="B681" s="98">
        <v>32007</v>
      </c>
      <c r="C681" s="96" t="s">
        <v>765</v>
      </c>
      <c r="D681" s="207">
        <v>1415767.98</v>
      </c>
      <c r="E681" s="207">
        <v>492221.6</v>
      </c>
      <c r="F681" s="202">
        <v>300000</v>
      </c>
      <c r="G681" s="202">
        <v>300000</v>
      </c>
      <c r="H681" s="203">
        <v>300000</v>
      </c>
      <c r="I681" s="135"/>
    </row>
    <row r="682" spans="1:9" ht="66">
      <c r="A682" s="297">
        <v>1183</v>
      </c>
      <c r="B682" s="98">
        <v>32009</v>
      </c>
      <c r="C682" s="96" t="s">
        <v>766</v>
      </c>
      <c r="D682" s="207">
        <v>1050327.8500000001</v>
      </c>
      <c r="E682" s="207">
        <v>632025.1</v>
      </c>
      <c r="F682" s="202">
        <v>200000</v>
      </c>
      <c r="G682" s="202">
        <v>200000</v>
      </c>
      <c r="H682" s="203">
        <v>0</v>
      </c>
      <c r="I682" s="135"/>
    </row>
    <row r="683" spans="1:9" ht="49.5">
      <c r="A683" s="297">
        <v>1183</v>
      </c>
      <c r="B683" s="98">
        <v>32012</v>
      </c>
      <c r="C683" s="96" t="s">
        <v>767</v>
      </c>
      <c r="D683" s="207">
        <v>809736.63</v>
      </c>
      <c r="E683" s="207">
        <v>0</v>
      </c>
      <c r="F683" s="202">
        <v>0</v>
      </c>
      <c r="G683" s="202">
        <v>0</v>
      </c>
      <c r="H683" s="203">
        <v>0</v>
      </c>
      <c r="I683" s="135"/>
    </row>
    <row r="684" spans="1:9" ht="66">
      <c r="A684" s="297">
        <v>1183</v>
      </c>
      <c r="B684" s="98">
        <v>32013</v>
      </c>
      <c r="C684" s="96" t="s">
        <v>768</v>
      </c>
      <c r="D684" s="207">
        <v>49940</v>
      </c>
      <c r="E684" s="207">
        <v>0</v>
      </c>
      <c r="F684" s="202">
        <v>0</v>
      </c>
      <c r="G684" s="202">
        <v>0</v>
      </c>
      <c r="H684" s="203">
        <v>0</v>
      </c>
      <c r="I684" s="135"/>
    </row>
    <row r="685" spans="1:9">
      <c r="A685" s="35">
        <v>1189</v>
      </c>
      <c r="B685" s="652" t="s">
        <v>640</v>
      </c>
      <c r="C685" s="653"/>
      <c r="D685" s="183">
        <f>SUM(D686:D687)</f>
        <v>0</v>
      </c>
      <c r="E685" s="183">
        <f>SUM(E686:E687)</f>
        <v>10061502.600000001</v>
      </c>
      <c r="F685" s="183">
        <f>SUM(F686:F687)</f>
        <v>14000000</v>
      </c>
      <c r="G685" s="183">
        <f>SUM(G686:G687)</f>
        <v>16800000</v>
      </c>
      <c r="H685" s="200">
        <f>SUM(H686:H687)</f>
        <v>20160000</v>
      </c>
      <c r="I685" s="133"/>
    </row>
    <row r="686" spans="1:9" ht="49.7" customHeight="1">
      <c r="A686" s="297">
        <v>1189</v>
      </c>
      <c r="B686" s="36" t="s">
        <v>257</v>
      </c>
      <c r="C686" s="96" t="s">
        <v>769</v>
      </c>
      <c r="D686" s="207">
        <v>0</v>
      </c>
      <c r="E686" s="202">
        <v>4736773.7</v>
      </c>
      <c r="F686" s="202">
        <v>7000000</v>
      </c>
      <c r="G686" s="202">
        <f>+F686*1.2</f>
        <v>8400000</v>
      </c>
      <c r="H686" s="203">
        <f>+G686*1.2</f>
        <v>10080000</v>
      </c>
      <c r="I686" s="135"/>
    </row>
    <row r="687" spans="1:9" ht="115.5">
      <c r="A687" s="297">
        <v>1189</v>
      </c>
      <c r="B687" s="36" t="s">
        <v>770</v>
      </c>
      <c r="C687" s="96" t="s">
        <v>771</v>
      </c>
      <c r="D687" s="207">
        <v>0</v>
      </c>
      <c r="E687" s="207">
        <v>5324728.9000000004</v>
      </c>
      <c r="F687" s="202">
        <v>7000000</v>
      </c>
      <c r="G687" s="202">
        <f>+F687*1.2</f>
        <v>8400000</v>
      </c>
      <c r="H687" s="203">
        <f>+G687*1.2</f>
        <v>10080000</v>
      </c>
      <c r="I687" s="135"/>
    </row>
    <row r="688" spans="1:9">
      <c r="A688" s="35">
        <v>1192</v>
      </c>
      <c r="B688" s="650" t="s">
        <v>642</v>
      </c>
      <c r="C688" s="651"/>
      <c r="D688" s="183">
        <f>SUM(D689:D691)</f>
        <v>1757846.8239199999</v>
      </c>
      <c r="E688" s="183">
        <f>SUM(E689:E691)</f>
        <v>6765663.5999999996</v>
      </c>
      <c r="F688" s="183">
        <f>SUM(F689:F691)</f>
        <v>9000000</v>
      </c>
      <c r="G688" s="183">
        <f>SUM(G689:G691)</f>
        <v>10200000</v>
      </c>
      <c r="H688" s="200">
        <f>SUM(H689:H691)</f>
        <v>11640000</v>
      </c>
      <c r="I688" s="133"/>
    </row>
    <row r="689" spans="1:9" ht="115.5">
      <c r="A689" s="297">
        <v>1192</v>
      </c>
      <c r="B689" s="36">
        <v>32003</v>
      </c>
      <c r="C689" s="96" t="s">
        <v>772</v>
      </c>
      <c r="D689" s="207">
        <v>38976.97</v>
      </c>
      <c r="E689" s="207">
        <v>0</v>
      </c>
      <c r="F689" s="202">
        <v>0</v>
      </c>
      <c r="G689" s="202">
        <v>0</v>
      </c>
      <c r="H689" s="203">
        <v>0</v>
      </c>
      <c r="I689" s="135"/>
    </row>
    <row r="690" spans="1:9" ht="115.5">
      <c r="A690" s="297">
        <v>1192</v>
      </c>
      <c r="B690" s="36">
        <v>32006</v>
      </c>
      <c r="C690" s="96" t="s">
        <v>773</v>
      </c>
      <c r="D690" s="207">
        <v>1718869.8539199999</v>
      </c>
      <c r="E690" s="207">
        <v>4117413.6</v>
      </c>
      <c r="F690" s="202">
        <v>6000000</v>
      </c>
      <c r="G690" s="202">
        <f>+F690*1.2</f>
        <v>7200000</v>
      </c>
      <c r="H690" s="203">
        <f>+G690*1.2</f>
        <v>8640000</v>
      </c>
      <c r="I690" s="135"/>
    </row>
    <row r="691" spans="1:9" ht="33">
      <c r="A691" s="297">
        <v>1192</v>
      </c>
      <c r="B691" s="36" t="s">
        <v>774</v>
      </c>
      <c r="C691" s="96" t="s">
        <v>775</v>
      </c>
      <c r="D691" s="207">
        <v>0</v>
      </c>
      <c r="E691" s="207">
        <v>2648250</v>
      </c>
      <c r="F691" s="202">
        <v>3000000</v>
      </c>
      <c r="G691" s="202">
        <v>3000000</v>
      </c>
      <c r="H691" s="203">
        <v>3000000</v>
      </c>
      <c r="I691" s="135"/>
    </row>
    <row r="692" spans="1:9">
      <c r="A692" s="35">
        <v>1193</v>
      </c>
      <c r="B692" s="650" t="s">
        <v>656</v>
      </c>
      <c r="C692" s="651"/>
      <c r="D692" s="183">
        <f>SUM(D693)</f>
        <v>13836.49</v>
      </c>
      <c r="E692" s="183">
        <f>SUM(E693)</f>
        <v>0</v>
      </c>
      <c r="F692" s="183">
        <f>SUM(F693)</f>
        <v>0</v>
      </c>
      <c r="G692" s="183">
        <f>SUM(G693)</f>
        <v>0</v>
      </c>
      <c r="H692" s="200">
        <f>SUM(H693)</f>
        <v>0</v>
      </c>
      <c r="I692" s="133"/>
    </row>
    <row r="693" spans="1:9" ht="49.7" customHeight="1">
      <c r="A693" s="297">
        <v>1193</v>
      </c>
      <c r="B693" s="36">
        <v>31001</v>
      </c>
      <c r="C693" s="96" t="s">
        <v>776</v>
      </c>
      <c r="D693" s="207">
        <v>13836.49</v>
      </c>
      <c r="E693" s="207">
        <v>0</v>
      </c>
      <c r="F693" s="207">
        <v>0</v>
      </c>
      <c r="G693" s="207">
        <v>0</v>
      </c>
      <c r="H693" s="208">
        <v>0</v>
      </c>
      <c r="I693" s="135"/>
    </row>
    <row r="694" spans="1:9">
      <c r="A694" s="35">
        <v>1196</v>
      </c>
      <c r="B694" s="650" t="s">
        <v>661</v>
      </c>
      <c r="C694" s="651"/>
      <c r="D694" s="183">
        <f>SUM(D695)</f>
        <v>25230.7</v>
      </c>
      <c r="E694" s="183">
        <f>SUM(E695)</f>
        <v>0</v>
      </c>
      <c r="F694" s="183">
        <f>SUM(F695)</f>
        <v>0</v>
      </c>
      <c r="G694" s="183">
        <f>SUM(G695)</f>
        <v>0</v>
      </c>
      <c r="H694" s="200">
        <f>SUM(H695)</f>
        <v>0</v>
      </c>
      <c r="I694" s="133"/>
    </row>
    <row r="695" spans="1:9" ht="33" customHeight="1">
      <c r="A695" s="297">
        <v>1196</v>
      </c>
      <c r="B695" s="283">
        <v>12001</v>
      </c>
      <c r="C695" s="96" t="s">
        <v>777</v>
      </c>
      <c r="D695" s="207">
        <v>25230.7</v>
      </c>
      <c r="E695" s="207">
        <v>0</v>
      </c>
      <c r="F695" s="207">
        <v>0</v>
      </c>
      <c r="G695" s="207">
        <v>0</v>
      </c>
      <c r="H695" s="208">
        <v>0</v>
      </c>
      <c r="I695" s="135"/>
    </row>
    <row r="696" spans="1:9">
      <c r="A696" s="35">
        <v>1198</v>
      </c>
      <c r="B696" s="650" t="s">
        <v>665</v>
      </c>
      <c r="C696" s="651"/>
      <c r="D696" s="183">
        <f>SUM(D697)</f>
        <v>12380</v>
      </c>
      <c r="E696" s="183">
        <f>SUM(E697)</f>
        <v>15000</v>
      </c>
      <c r="F696" s="183">
        <f>SUM(F697)</f>
        <v>17000</v>
      </c>
      <c r="G696" s="183">
        <f>SUM(G697)</f>
        <v>20000</v>
      </c>
      <c r="H696" s="200">
        <f>SUM(H697)</f>
        <v>20000</v>
      </c>
      <c r="I696" s="133"/>
    </row>
    <row r="697" spans="1:9" ht="49.7" customHeight="1">
      <c r="A697" s="297">
        <v>1198</v>
      </c>
      <c r="B697" s="283">
        <v>11003</v>
      </c>
      <c r="C697" s="96" t="s">
        <v>778</v>
      </c>
      <c r="D697" s="207">
        <v>12380</v>
      </c>
      <c r="E697" s="207">
        <v>15000</v>
      </c>
      <c r="F697" s="207">
        <v>17000</v>
      </c>
      <c r="G697" s="207">
        <v>20000</v>
      </c>
      <c r="H697" s="207">
        <v>20000</v>
      </c>
      <c r="I697" s="135"/>
    </row>
    <row r="698" spans="1:9">
      <c r="A698" s="35">
        <v>1236</v>
      </c>
      <c r="B698" s="650" t="s">
        <v>779</v>
      </c>
      <c r="C698" s="651"/>
      <c r="D698" s="183">
        <f>SUM(D699:D704)</f>
        <v>0</v>
      </c>
      <c r="E698" s="183">
        <f>SUM(E699:E704)</f>
        <v>92033925.599999994</v>
      </c>
      <c r="F698" s="183">
        <f>SUM(F699:F704)</f>
        <v>108425249.84999999</v>
      </c>
      <c r="G698" s="183">
        <f>SUM(G699:G704)</f>
        <v>128140782.88700001</v>
      </c>
      <c r="H698" s="200">
        <f>SUM(H699:H704)</f>
        <v>149302470.83810002</v>
      </c>
      <c r="I698" s="133"/>
    </row>
    <row r="699" spans="1:9" ht="66" customHeight="1">
      <c r="A699" s="297">
        <v>1236</v>
      </c>
      <c r="B699" s="283" t="s">
        <v>349</v>
      </c>
      <c r="C699" s="240" t="s">
        <v>780</v>
      </c>
      <c r="D699" s="207">
        <v>0</v>
      </c>
      <c r="E699" s="207">
        <v>6326057.2999999998</v>
      </c>
      <c r="F699" s="207">
        <f>+E699*1.2</f>
        <v>7591268.7599999998</v>
      </c>
      <c r="G699" s="207">
        <f>+F699*1.2</f>
        <v>9109522.5120000001</v>
      </c>
      <c r="H699" s="208">
        <f>+G699*1.2</f>
        <v>10931427.0144</v>
      </c>
      <c r="I699" s="135"/>
    </row>
    <row r="700" spans="1:9" ht="33">
      <c r="A700" s="297">
        <v>1236</v>
      </c>
      <c r="B700" s="283" t="s">
        <v>781</v>
      </c>
      <c r="C700" s="240" t="s">
        <v>782</v>
      </c>
      <c r="D700" s="207">
        <v>0</v>
      </c>
      <c r="E700" s="207">
        <v>13445068.199999999</v>
      </c>
      <c r="F700" s="207">
        <v>15000000</v>
      </c>
      <c r="G700" s="207">
        <v>17000000</v>
      </c>
      <c r="H700" s="208">
        <v>17000000</v>
      </c>
      <c r="I700" s="135"/>
    </row>
    <row r="701" spans="1:9" ht="33">
      <c r="A701" s="297">
        <v>1236</v>
      </c>
      <c r="B701" s="283" t="s">
        <v>783</v>
      </c>
      <c r="C701" s="96" t="s">
        <v>784</v>
      </c>
      <c r="D701" s="207">
        <v>0</v>
      </c>
      <c r="E701" s="207">
        <v>42965282.5</v>
      </c>
      <c r="F701" s="207">
        <f t="shared" ref="F701:H703" si="52">+E701*1.2</f>
        <v>51558339</v>
      </c>
      <c r="G701" s="207">
        <f t="shared" si="52"/>
        <v>61870006.799999997</v>
      </c>
      <c r="H701" s="208">
        <f t="shared" si="52"/>
        <v>74244008.159999996</v>
      </c>
      <c r="I701" s="135"/>
    </row>
    <row r="702" spans="1:9" ht="33">
      <c r="A702" s="297">
        <v>1236</v>
      </c>
      <c r="B702" s="283" t="s">
        <v>785</v>
      </c>
      <c r="C702" s="96" t="s">
        <v>786</v>
      </c>
      <c r="D702" s="207">
        <v>0</v>
      </c>
      <c r="E702" s="207">
        <v>519427.3</v>
      </c>
      <c r="F702" s="207">
        <f t="shared" si="52"/>
        <v>623312.76</v>
      </c>
      <c r="G702" s="207">
        <f t="shared" si="52"/>
        <v>747975.31200000003</v>
      </c>
      <c r="H702" s="208">
        <f t="shared" si="52"/>
        <v>897570.37439999997</v>
      </c>
      <c r="I702" s="135"/>
    </row>
    <row r="703" spans="1:9">
      <c r="A703" s="297">
        <v>1236</v>
      </c>
      <c r="B703" s="283" t="s">
        <v>787</v>
      </c>
      <c r="C703" s="96" t="s">
        <v>788</v>
      </c>
      <c r="D703" s="207">
        <v>0</v>
      </c>
      <c r="E703" s="207">
        <v>19964300</v>
      </c>
      <c r="F703" s="207">
        <f t="shared" si="52"/>
        <v>23957160</v>
      </c>
      <c r="G703" s="207">
        <f t="shared" si="52"/>
        <v>28748592</v>
      </c>
      <c r="H703" s="208">
        <f t="shared" si="52"/>
        <v>34498310.399999999</v>
      </c>
      <c r="I703" s="135"/>
    </row>
    <row r="704" spans="1:9" ht="66">
      <c r="A704" s="297">
        <v>1236</v>
      </c>
      <c r="B704" s="283" t="s">
        <v>789</v>
      </c>
      <c r="C704" s="96" t="s">
        <v>790</v>
      </c>
      <c r="D704" s="207">
        <v>0</v>
      </c>
      <c r="E704" s="207">
        <v>8813790.3000000007</v>
      </c>
      <c r="F704" s="207">
        <f>+E704*1.1</f>
        <v>9695169.3300000019</v>
      </c>
      <c r="G704" s="207">
        <f>+F704*1.1</f>
        <v>10664686.263000002</v>
      </c>
      <c r="H704" s="208">
        <f>+G704*1.1</f>
        <v>11731154.889300004</v>
      </c>
      <c r="I704" s="135"/>
    </row>
    <row r="705" spans="1:9">
      <c r="A705" s="14" t="s">
        <v>17</v>
      </c>
      <c r="B705" s="643" t="s">
        <v>31</v>
      </c>
      <c r="C705" s="644"/>
      <c r="D705" s="176">
        <f>D706+D716</f>
        <v>524204653.39999998</v>
      </c>
      <c r="E705" s="176">
        <f>E706+E716</f>
        <v>551362811.20000005</v>
      </c>
      <c r="F705" s="176">
        <f>F706+F716</f>
        <v>1045633281.6</v>
      </c>
      <c r="G705" s="176">
        <f>G706+G716</f>
        <v>1081751991.4000001</v>
      </c>
      <c r="H705" s="176">
        <f>H706+H716</f>
        <v>1064997949.2</v>
      </c>
      <c r="I705" s="112"/>
    </row>
    <row r="706" spans="1:9">
      <c r="A706" s="645" t="s">
        <v>8</v>
      </c>
      <c r="B706" s="646"/>
      <c r="C706" s="647"/>
      <c r="D706" s="177">
        <f>D707+D709+D711</f>
        <v>238863691.69999999</v>
      </c>
      <c r="E706" s="177">
        <f>E707+E709+E711</f>
        <v>260031580.59999999</v>
      </c>
      <c r="F706" s="177">
        <f>F707+F709+F711</f>
        <v>269335222.39999998</v>
      </c>
      <c r="G706" s="177">
        <f>G707+G709+G711</f>
        <v>269957130.89999998</v>
      </c>
      <c r="H706" s="177">
        <f>H707+H709+H711</f>
        <v>270351480.89999998</v>
      </c>
      <c r="I706" s="113"/>
    </row>
    <row r="707" spans="1:9">
      <c r="A707" s="21">
        <v>1125</v>
      </c>
      <c r="B707" s="648" t="s">
        <v>201</v>
      </c>
      <c r="C707" s="649"/>
      <c r="D707" s="180">
        <f>D708</f>
        <v>1029069.6</v>
      </c>
      <c r="E707" s="180">
        <f>E708</f>
        <v>1174156.8999999999</v>
      </c>
      <c r="F707" s="180">
        <f>F708</f>
        <v>1251774.7999999998</v>
      </c>
      <c r="G707" s="180">
        <f>G708</f>
        <v>1249358.5999999999</v>
      </c>
      <c r="H707" s="180">
        <f>H708</f>
        <v>1249358.5999999999</v>
      </c>
      <c r="I707" s="137"/>
    </row>
    <row r="708" spans="1:9" ht="54" customHeight="1">
      <c r="A708" s="11">
        <v>1125</v>
      </c>
      <c r="B708" s="27">
        <v>11001</v>
      </c>
      <c r="C708" s="44" t="s">
        <v>202</v>
      </c>
      <c r="D708" s="172">
        <v>1029069.6</v>
      </c>
      <c r="E708" s="172">
        <v>1174156.8999999999</v>
      </c>
      <c r="F708" s="172">
        <f>E708+77617.9</f>
        <v>1251774.7999999998</v>
      </c>
      <c r="G708" s="172">
        <f>E708+75201.7</f>
        <v>1249358.5999999999</v>
      </c>
      <c r="H708" s="172">
        <f>E708+75201.7</f>
        <v>1249358.5999999999</v>
      </c>
      <c r="I708" s="138" t="s">
        <v>203</v>
      </c>
    </row>
    <row r="709" spans="1:9">
      <c r="A709" s="22">
        <v>1169</v>
      </c>
      <c r="B709" s="648" t="s">
        <v>204</v>
      </c>
      <c r="C709" s="649"/>
      <c r="D709" s="180">
        <f>SUM(D710:D710)</f>
        <v>236797943.47999999</v>
      </c>
      <c r="E709" s="180">
        <f>SUM(E710:E710)</f>
        <v>257368131</v>
      </c>
      <c r="F709" s="180">
        <f>SUM(F710:F710)</f>
        <v>266095194.19999999</v>
      </c>
      <c r="G709" s="180">
        <f>SUM(G710:G710)</f>
        <v>266632869.40000001</v>
      </c>
      <c r="H709" s="180">
        <f>SUM(H710:H710)</f>
        <v>267027219.40000001</v>
      </c>
      <c r="I709" s="139"/>
    </row>
    <row r="710" spans="1:9" ht="40.700000000000003" customHeight="1">
      <c r="A710" s="23">
        <v>1169</v>
      </c>
      <c r="B710" s="38">
        <v>11001</v>
      </c>
      <c r="C710" s="242" t="s">
        <v>205</v>
      </c>
      <c r="D710" s="172">
        <v>236797943.47999999</v>
      </c>
      <c r="E710" s="172">
        <v>257368131</v>
      </c>
      <c r="F710" s="172">
        <f>E710+8727063.2</f>
        <v>266095194.19999999</v>
      </c>
      <c r="G710" s="172">
        <f>E710+9264738.4</f>
        <v>266632869.40000001</v>
      </c>
      <c r="H710" s="172">
        <f>E710+9659088.4</f>
        <v>267027219.40000001</v>
      </c>
      <c r="I710" s="140" t="s">
        <v>206</v>
      </c>
    </row>
    <row r="711" spans="1:9">
      <c r="A711" s="22">
        <v>1204</v>
      </c>
      <c r="B711" s="648" t="s">
        <v>207</v>
      </c>
      <c r="C711" s="649"/>
      <c r="D711" s="180">
        <f>SUM(D712:D715)</f>
        <v>1036678.62</v>
      </c>
      <c r="E711" s="180">
        <f>SUM(E712:E715)</f>
        <v>1489292.7</v>
      </c>
      <c r="F711" s="180">
        <f>SUM(F712:F715)</f>
        <v>1988253.4</v>
      </c>
      <c r="G711" s="180">
        <f>SUM(G712:G715)</f>
        <v>2074902.9</v>
      </c>
      <c r="H711" s="180">
        <f>SUM(H712:H715)</f>
        <v>2074902.9</v>
      </c>
      <c r="I711" s="141"/>
    </row>
    <row r="712" spans="1:9" ht="54" customHeight="1">
      <c r="A712" s="23">
        <v>1204</v>
      </c>
      <c r="B712" s="38">
        <v>11001</v>
      </c>
      <c r="C712" s="242" t="s">
        <v>208</v>
      </c>
      <c r="D712" s="172">
        <v>117398.39999999999</v>
      </c>
      <c r="E712" s="172">
        <v>139100</v>
      </c>
      <c r="F712" s="181">
        <f>234500</f>
        <v>234500</v>
      </c>
      <c r="G712" s="181">
        <f>234500</f>
        <v>234500</v>
      </c>
      <c r="H712" s="181">
        <f>234500</f>
        <v>234500</v>
      </c>
      <c r="I712" s="682" t="s">
        <v>209</v>
      </c>
    </row>
    <row r="713" spans="1:9" ht="27">
      <c r="A713" s="23">
        <v>1204</v>
      </c>
      <c r="B713" s="38">
        <v>11002</v>
      </c>
      <c r="C713" s="242" t="s">
        <v>210</v>
      </c>
      <c r="D713" s="172">
        <v>11470</v>
      </c>
      <c r="E713" s="172">
        <v>11470</v>
      </c>
      <c r="F713" s="181">
        <f>20000</f>
        <v>20000</v>
      </c>
      <c r="G713" s="181">
        <f>20000</f>
        <v>20000</v>
      </c>
      <c r="H713" s="181">
        <f>20000</f>
        <v>20000</v>
      </c>
      <c r="I713" s="683"/>
    </row>
    <row r="714" spans="1:9" ht="40.5">
      <c r="A714" s="23">
        <v>1204</v>
      </c>
      <c r="B714" s="38">
        <v>11003</v>
      </c>
      <c r="C714" s="242" t="s">
        <v>211</v>
      </c>
      <c r="D714" s="172">
        <v>34342</v>
      </c>
      <c r="E714" s="172">
        <v>37480</v>
      </c>
      <c r="F714" s="181">
        <f>385000</f>
        <v>385000</v>
      </c>
      <c r="G714" s="181">
        <f>470000</f>
        <v>470000</v>
      </c>
      <c r="H714" s="181">
        <f>470000</f>
        <v>470000</v>
      </c>
      <c r="I714" s="683"/>
    </row>
    <row r="715" spans="1:9" ht="40.5">
      <c r="A715" s="23">
        <v>1204</v>
      </c>
      <c r="B715" s="38">
        <v>11004</v>
      </c>
      <c r="C715" s="242" t="s">
        <v>212</v>
      </c>
      <c r="D715" s="172">
        <v>873468.22</v>
      </c>
      <c r="E715" s="172">
        <v>1301242.7</v>
      </c>
      <c r="F715" s="181">
        <f>1348753.4</f>
        <v>1348753.4</v>
      </c>
      <c r="G715" s="181">
        <f>1350402.9</f>
        <v>1350402.9</v>
      </c>
      <c r="H715" s="181">
        <f>1350402.9</f>
        <v>1350402.9</v>
      </c>
      <c r="I715" s="684"/>
    </row>
    <row r="716" spans="1:9">
      <c r="A716" s="645" t="s">
        <v>9</v>
      </c>
      <c r="B716" s="646"/>
      <c r="C716" s="647"/>
      <c r="D716" s="177">
        <f t="shared" ref="D716:H717" si="53">D717</f>
        <v>285340961.69999999</v>
      </c>
      <c r="E716" s="177">
        <f t="shared" si="53"/>
        <v>291331230.60000002</v>
      </c>
      <c r="F716" s="177">
        <f t="shared" si="53"/>
        <v>776298059.20000005</v>
      </c>
      <c r="G716" s="177">
        <f t="shared" si="53"/>
        <v>811794860.50000012</v>
      </c>
      <c r="H716" s="177">
        <f t="shared" si="53"/>
        <v>794646468.30000007</v>
      </c>
      <c r="I716" s="113"/>
    </row>
    <row r="717" spans="1:9">
      <c r="A717" s="21">
        <v>1169</v>
      </c>
      <c r="B717" s="648" t="s">
        <v>204</v>
      </c>
      <c r="C717" s="649"/>
      <c r="D717" s="180">
        <f t="shared" si="53"/>
        <v>285340961.69999999</v>
      </c>
      <c r="E717" s="180">
        <f t="shared" si="53"/>
        <v>291331230.60000002</v>
      </c>
      <c r="F717" s="180">
        <f t="shared" si="53"/>
        <v>776298059.20000005</v>
      </c>
      <c r="G717" s="180">
        <f t="shared" si="53"/>
        <v>811794860.50000012</v>
      </c>
      <c r="H717" s="180">
        <f t="shared" si="53"/>
        <v>794646468.30000007</v>
      </c>
      <c r="I717" s="141"/>
    </row>
    <row r="718" spans="1:9" ht="40.700000000000003" customHeight="1">
      <c r="A718" s="49">
        <v>1169</v>
      </c>
      <c r="B718" s="48">
        <v>31001</v>
      </c>
      <c r="C718" s="243" t="s">
        <v>213</v>
      </c>
      <c r="D718" s="211">
        <v>285340961.69999999</v>
      </c>
      <c r="E718" s="211">
        <v>291331230.60000002</v>
      </c>
      <c r="F718" s="211">
        <v>776298059.20000005</v>
      </c>
      <c r="G718" s="211">
        <v>811794860.50000012</v>
      </c>
      <c r="H718" s="211">
        <v>794646468.30000007</v>
      </c>
      <c r="I718" s="142" t="s">
        <v>360</v>
      </c>
    </row>
    <row r="719" spans="1:9">
      <c r="A719" s="14" t="s">
        <v>17</v>
      </c>
      <c r="B719" s="680" t="s">
        <v>32</v>
      </c>
      <c r="C719" s="681"/>
      <c r="D719" s="177"/>
      <c r="E719" s="177"/>
      <c r="F719" s="177"/>
      <c r="G719" s="177"/>
      <c r="H719" s="177"/>
      <c r="I719" s="143"/>
    </row>
    <row r="720" spans="1:9">
      <c r="A720" s="645" t="s">
        <v>8</v>
      </c>
      <c r="B720" s="646"/>
      <c r="C720" s="647"/>
      <c r="D720" s="177"/>
      <c r="E720" s="177"/>
      <c r="F720" s="177"/>
      <c r="G720" s="177"/>
      <c r="H720" s="177"/>
      <c r="I720" s="143"/>
    </row>
    <row r="721" spans="1:9">
      <c r="A721" s="645" t="s">
        <v>9</v>
      </c>
      <c r="B721" s="646"/>
      <c r="C721" s="647"/>
      <c r="D721" s="177"/>
      <c r="E721" s="177"/>
      <c r="F721" s="177"/>
      <c r="G721" s="177"/>
      <c r="H721" s="177"/>
      <c r="I721" s="143"/>
    </row>
    <row r="722" spans="1:9">
      <c r="A722" s="14" t="s">
        <v>17</v>
      </c>
      <c r="B722" s="680" t="s">
        <v>33</v>
      </c>
      <c r="C722" s="681"/>
      <c r="D722" s="176">
        <f>D723+D743</f>
        <v>8995020.8900000006</v>
      </c>
      <c r="E722" s="176">
        <f>E723+E743</f>
        <v>25316760.799999997</v>
      </c>
      <c r="F722" s="176">
        <f>F723+F743</f>
        <v>26233501.899999999</v>
      </c>
      <c r="G722" s="176">
        <f>G723+G743</f>
        <v>32270720.600000001</v>
      </c>
      <c r="H722" s="176">
        <f>H723+H743</f>
        <v>33038958.199999999</v>
      </c>
      <c r="I722" s="112"/>
    </row>
    <row r="723" spans="1:9">
      <c r="A723" s="645" t="s">
        <v>8</v>
      </c>
      <c r="B723" s="646"/>
      <c r="C723" s="647"/>
      <c r="D723" s="177">
        <f>D724+D731+D734+D738</f>
        <v>5268442.6399999997</v>
      </c>
      <c r="E723" s="177">
        <f>E724+E731+E734+E738</f>
        <v>11539385.699999999</v>
      </c>
      <c r="F723" s="177">
        <f>F724+F731+F734+F738</f>
        <v>11233501.9</v>
      </c>
      <c r="G723" s="177">
        <f>G724+G731+G734+G738</f>
        <v>12270720.6</v>
      </c>
      <c r="H723" s="177">
        <f>H724+H731+H734+H738</f>
        <v>13038958.199999999</v>
      </c>
      <c r="I723" s="113"/>
    </row>
    <row r="724" spans="1:9">
      <c r="A724" s="31">
        <v>1043</v>
      </c>
      <c r="B724" s="677" t="s">
        <v>354</v>
      </c>
      <c r="C724" s="678"/>
      <c r="D724" s="180">
        <f>SUM(D725:D730)</f>
        <v>2178123.5999999996</v>
      </c>
      <c r="E724" s="180">
        <f>SUM(E725:E730)</f>
        <v>3915409.9</v>
      </c>
      <c r="F724" s="180">
        <f>SUM(F725:F730)</f>
        <v>2981064</v>
      </c>
      <c r="G724" s="180">
        <f>SUM(G725:G730)</f>
        <v>3506490.4</v>
      </c>
      <c r="H724" s="180">
        <f>SUM(H725:H730)</f>
        <v>3829898.4</v>
      </c>
      <c r="I724" s="117"/>
    </row>
    <row r="725" spans="1:9" ht="49.5">
      <c r="A725" s="5" t="s">
        <v>321</v>
      </c>
      <c r="B725" s="2">
        <v>11003</v>
      </c>
      <c r="C725" s="40" t="s">
        <v>791</v>
      </c>
      <c r="D725" s="207"/>
      <c r="E725" s="202">
        <v>234000</v>
      </c>
      <c r="F725" s="202"/>
      <c r="G725" s="202"/>
      <c r="H725" s="202"/>
      <c r="I725" s="25"/>
    </row>
    <row r="726" spans="1:9" ht="66">
      <c r="A726" s="5" t="s">
        <v>321</v>
      </c>
      <c r="B726" s="2" t="s">
        <v>237</v>
      </c>
      <c r="C726" s="40" t="s">
        <v>322</v>
      </c>
      <c r="D726" s="207">
        <v>89419.199999999997</v>
      </c>
      <c r="E726" s="202">
        <v>613000</v>
      </c>
      <c r="F726" s="202">
        <v>613000</v>
      </c>
      <c r="G726" s="202">
        <v>613000</v>
      </c>
      <c r="H726" s="202">
        <v>613000</v>
      </c>
      <c r="I726" s="25" t="s">
        <v>323</v>
      </c>
    </row>
    <row r="727" spans="1:9" ht="66">
      <c r="A727" s="5">
        <v>1043</v>
      </c>
      <c r="B727" s="2" t="s">
        <v>119</v>
      </c>
      <c r="C727" s="40" t="s">
        <v>324</v>
      </c>
      <c r="D727" s="207">
        <v>291935</v>
      </c>
      <c r="E727" s="202">
        <v>340000</v>
      </c>
      <c r="F727" s="202">
        <v>348000</v>
      </c>
      <c r="G727" s="202">
        <v>560000</v>
      </c>
      <c r="H727" s="202">
        <v>616000</v>
      </c>
      <c r="I727" s="25" t="s">
        <v>325</v>
      </c>
    </row>
    <row r="728" spans="1:9" ht="33">
      <c r="A728" s="5">
        <v>1043</v>
      </c>
      <c r="B728" s="2" t="s">
        <v>123</v>
      </c>
      <c r="C728" s="40" t="s">
        <v>326</v>
      </c>
      <c r="D728" s="207">
        <v>377741</v>
      </c>
      <c r="E728" s="202">
        <v>928500</v>
      </c>
      <c r="F728" s="182">
        <v>1114200</v>
      </c>
      <c r="G728" s="182">
        <v>1337040</v>
      </c>
      <c r="H728" s="182">
        <v>1604448</v>
      </c>
      <c r="I728" s="144" t="s">
        <v>327</v>
      </c>
    </row>
    <row r="729" spans="1:9" ht="66">
      <c r="A729" s="5">
        <v>1043</v>
      </c>
      <c r="B729" s="2" t="s">
        <v>139</v>
      </c>
      <c r="C729" s="40" t="s">
        <v>328</v>
      </c>
      <c r="D729" s="207">
        <v>839446.1</v>
      </c>
      <c r="E729" s="202">
        <v>958145.9</v>
      </c>
      <c r="F729" s="172"/>
      <c r="G729" s="172"/>
      <c r="H729" s="172"/>
      <c r="I729" s="145" t="s">
        <v>792</v>
      </c>
    </row>
    <row r="730" spans="1:9" ht="66">
      <c r="A730" s="60">
        <v>1043</v>
      </c>
      <c r="B730" s="2" t="s">
        <v>329</v>
      </c>
      <c r="C730" s="40" t="s">
        <v>330</v>
      </c>
      <c r="D730" s="207">
        <v>579582.30000000005</v>
      </c>
      <c r="E730" s="202">
        <v>841764</v>
      </c>
      <c r="F730" s="202">
        <v>905864</v>
      </c>
      <c r="G730" s="202">
        <v>996450.4</v>
      </c>
      <c r="H730" s="202">
        <v>996450.4</v>
      </c>
      <c r="I730" s="25" t="s">
        <v>793</v>
      </c>
    </row>
    <row r="731" spans="1:9">
      <c r="A731" s="82">
        <v>1100</v>
      </c>
      <c r="B731" s="677" t="s">
        <v>355</v>
      </c>
      <c r="C731" s="678"/>
      <c r="D731" s="183">
        <f>SUM(D732:D733)</f>
        <v>1266919.24</v>
      </c>
      <c r="E731" s="183">
        <f>SUM(E732:E733)</f>
        <v>1275158.7</v>
      </c>
      <c r="F731" s="183">
        <f>SUM(F732:F733)</f>
        <v>1287437.8999999999</v>
      </c>
      <c r="G731" s="183">
        <f>SUM(G732:G733)</f>
        <v>1299230.2</v>
      </c>
      <c r="H731" s="183">
        <f>SUM(H732:H733)</f>
        <v>1324059.8</v>
      </c>
      <c r="I731" s="146"/>
    </row>
    <row r="732" spans="1:9" ht="148.5">
      <c r="A732" s="5" t="s">
        <v>331</v>
      </c>
      <c r="B732" s="2" t="s">
        <v>70</v>
      </c>
      <c r="C732" s="96" t="s">
        <v>332</v>
      </c>
      <c r="D732" s="202">
        <v>1026354.91</v>
      </c>
      <c r="E732" s="202">
        <v>1034295.9</v>
      </c>
      <c r="F732" s="202">
        <v>1044295.9</v>
      </c>
      <c r="G732" s="202">
        <v>1053415.3999999999</v>
      </c>
      <c r="H732" s="202">
        <v>1064445.2</v>
      </c>
      <c r="I732" s="668" t="s">
        <v>794</v>
      </c>
    </row>
    <row r="733" spans="1:9" ht="99">
      <c r="A733" s="5">
        <v>1100</v>
      </c>
      <c r="B733" s="2" t="s">
        <v>333</v>
      </c>
      <c r="C733" s="96" t="s">
        <v>334</v>
      </c>
      <c r="D733" s="202">
        <v>240564.33</v>
      </c>
      <c r="E733" s="202">
        <v>240862.8</v>
      </c>
      <c r="F733" s="202">
        <v>243142</v>
      </c>
      <c r="G733" s="202">
        <v>245814.8</v>
      </c>
      <c r="H733" s="202">
        <v>259614.6</v>
      </c>
      <c r="I733" s="670"/>
    </row>
    <row r="734" spans="1:9">
      <c r="A734" s="30">
        <v>1164</v>
      </c>
      <c r="B734" s="677" t="s">
        <v>356</v>
      </c>
      <c r="C734" s="678"/>
      <c r="D734" s="183">
        <f>SUM(D735:D737)</f>
        <v>721481.6</v>
      </c>
      <c r="E734" s="183">
        <f>SUM(E735:E737)</f>
        <v>529663.4</v>
      </c>
      <c r="F734" s="183">
        <f>SUM(F735:F737)</f>
        <v>795000</v>
      </c>
      <c r="G734" s="183">
        <f>SUM(G735:G737)</f>
        <v>880000</v>
      </c>
      <c r="H734" s="183">
        <f>SUM(H735:H737)</f>
        <v>885000</v>
      </c>
      <c r="I734" s="147"/>
    </row>
    <row r="735" spans="1:9" ht="33">
      <c r="A735" s="5" t="s">
        <v>335</v>
      </c>
      <c r="B735" s="2" t="s">
        <v>70</v>
      </c>
      <c r="C735" s="96" t="s">
        <v>336</v>
      </c>
      <c r="D735" s="207">
        <v>312886.2</v>
      </c>
      <c r="E735" s="202">
        <v>313992</v>
      </c>
      <c r="F735" s="202">
        <v>560000</v>
      </c>
      <c r="G735" s="202">
        <v>640000</v>
      </c>
      <c r="H735" s="202">
        <v>640000</v>
      </c>
      <c r="I735" s="119"/>
    </row>
    <row r="736" spans="1:9" ht="33">
      <c r="A736" s="5">
        <v>1164</v>
      </c>
      <c r="B736" s="2" t="s">
        <v>233</v>
      </c>
      <c r="C736" s="96" t="s">
        <v>337</v>
      </c>
      <c r="D736" s="207">
        <v>81435.399999999994</v>
      </c>
      <c r="E736" s="202">
        <v>83671.399999999994</v>
      </c>
      <c r="F736" s="202">
        <v>90000</v>
      </c>
      <c r="G736" s="202">
        <v>90000</v>
      </c>
      <c r="H736" s="202">
        <v>90000</v>
      </c>
      <c r="I736" s="119"/>
    </row>
    <row r="737" spans="1:9" ht="33">
      <c r="A737" s="5">
        <v>1164</v>
      </c>
      <c r="B737" s="2" t="s">
        <v>237</v>
      </c>
      <c r="C737" s="96" t="s">
        <v>338</v>
      </c>
      <c r="D737" s="207">
        <v>327160</v>
      </c>
      <c r="E737" s="202">
        <v>132000</v>
      </c>
      <c r="F737" s="202">
        <v>145000</v>
      </c>
      <c r="G737" s="202">
        <v>150000</v>
      </c>
      <c r="H737" s="202">
        <v>155000</v>
      </c>
      <c r="I737" s="119"/>
    </row>
    <row r="738" spans="1:9">
      <c r="A738" s="30">
        <v>1220</v>
      </c>
      <c r="B738" s="677" t="s">
        <v>357</v>
      </c>
      <c r="C738" s="678"/>
      <c r="D738" s="183">
        <f>SUM(D739:D742)</f>
        <v>1101918.2</v>
      </c>
      <c r="E738" s="183">
        <f>SUM(E739:E742)</f>
        <v>5819153.7000000002</v>
      </c>
      <c r="F738" s="183">
        <f>SUM(F739:F742)</f>
        <v>6170000</v>
      </c>
      <c r="G738" s="183">
        <f>SUM(G739:G742)</f>
        <v>6585000</v>
      </c>
      <c r="H738" s="183">
        <f>SUM(H739:H742)</f>
        <v>7000000</v>
      </c>
      <c r="I738" s="148"/>
    </row>
    <row r="739" spans="1:9" ht="66">
      <c r="A739" s="5" t="s">
        <v>339</v>
      </c>
      <c r="B739" s="2" t="s">
        <v>70</v>
      </c>
      <c r="C739" s="96" t="s">
        <v>340</v>
      </c>
      <c r="D739" s="207">
        <v>1101918.2</v>
      </c>
      <c r="E739" s="202">
        <v>4165403.7</v>
      </c>
      <c r="F739" s="172">
        <v>4400000</v>
      </c>
      <c r="G739" s="172">
        <v>4700000</v>
      </c>
      <c r="H739" s="172">
        <v>5000000</v>
      </c>
      <c r="I739" s="668" t="s">
        <v>341</v>
      </c>
    </row>
    <row r="740" spans="1:9" ht="33">
      <c r="A740" s="5">
        <v>1220</v>
      </c>
      <c r="B740" s="2" t="s">
        <v>233</v>
      </c>
      <c r="C740" s="96" t="s">
        <v>342</v>
      </c>
      <c r="D740" s="172"/>
      <c r="E740" s="202">
        <v>100000</v>
      </c>
      <c r="F740" s="172">
        <v>110000</v>
      </c>
      <c r="G740" s="172">
        <v>120000</v>
      </c>
      <c r="H740" s="172">
        <v>130000</v>
      </c>
      <c r="I740" s="669"/>
    </row>
    <row r="741" spans="1:9">
      <c r="A741" s="5">
        <v>1220</v>
      </c>
      <c r="B741" s="36" t="s">
        <v>235</v>
      </c>
      <c r="C741" s="96" t="s">
        <v>343</v>
      </c>
      <c r="D741" s="172"/>
      <c r="E741" s="202">
        <v>1500000</v>
      </c>
      <c r="F741" s="172">
        <v>1600000</v>
      </c>
      <c r="G741" s="172">
        <v>1700000</v>
      </c>
      <c r="H741" s="172">
        <v>1800000</v>
      </c>
      <c r="I741" s="669"/>
    </row>
    <row r="742" spans="1:9" ht="49.5">
      <c r="A742" s="5">
        <v>1220</v>
      </c>
      <c r="B742" s="2" t="s">
        <v>237</v>
      </c>
      <c r="C742" s="96" t="s">
        <v>344</v>
      </c>
      <c r="D742" s="172"/>
      <c r="E742" s="202">
        <v>53750</v>
      </c>
      <c r="F742" s="172">
        <v>60000</v>
      </c>
      <c r="G742" s="172">
        <v>65000</v>
      </c>
      <c r="H742" s="172">
        <v>70000</v>
      </c>
      <c r="I742" s="670"/>
    </row>
    <row r="743" spans="1:9">
      <c r="A743" s="645" t="s">
        <v>9</v>
      </c>
      <c r="B743" s="646"/>
      <c r="C743" s="647"/>
      <c r="D743" s="177">
        <f>D744+D747+D749+D751</f>
        <v>3726578.25</v>
      </c>
      <c r="E743" s="177">
        <f>E744+E747+E749+E751</f>
        <v>13777375.1</v>
      </c>
      <c r="F743" s="177">
        <f>F744+F747+F749+F751</f>
        <v>15000000</v>
      </c>
      <c r="G743" s="177">
        <f>G744+G747+G749+G751</f>
        <v>20000000</v>
      </c>
      <c r="H743" s="177">
        <f>H744+H747+H749+H751</f>
        <v>20000000</v>
      </c>
      <c r="I743" s="113"/>
    </row>
    <row r="744" spans="1:9">
      <c r="A744" s="87">
        <v>1043</v>
      </c>
      <c r="B744" s="677" t="s">
        <v>354</v>
      </c>
      <c r="C744" s="678"/>
      <c r="D744" s="180">
        <f>SUM(D745:D746)</f>
        <v>1871837.05</v>
      </c>
      <c r="E744" s="180">
        <f>SUM(E745:E746)</f>
        <v>1936984.7000000002</v>
      </c>
      <c r="F744" s="180">
        <f>SUM(F745:F746)</f>
        <v>0</v>
      </c>
      <c r="G744" s="180">
        <f>SUM(G745:G746)</f>
        <v>0</v>
      </c>
      <c r="H744" s="180">
        <f>SUM(H745:H746)</f>
        <v>0</v>
      </c>
      <c r="I744" s="148"/>
    </row>
    <row r="745" spans="1:9" ht="99">
      <c r="A745" s="10" t="s">
        <v>321</v>
      </c>
      <c r="B745" s="2" t="s">
        <v>345</v>
      </c>
      <c r="C745" s="96" t="s">
        <v>346</v>
      </c>
      <c r="D745" s="202">
        <v>996822.62</v>
      </c>
      <c r="E745" s="202">
        <v>832400.1</v>
      </c>
      <c r="F745" s="172"/>
      <c r="G745" s="172"/>
      <c r="H745" s="172"/>
      <c r="I745" s="668" t="s">
        <v>795</v>
      </c>
    </row>
    <row r="746" spans="1:9" ht="82.5">
      <c r="A746" s="10">
        <v>1043</v>
      </c>
      <c r="B746" s="2" t="s">
        <v>347</v>
      </c>
      <c r="C746" s="40" t="s">
        <v>348</v>
      </c>
      <c r="D746" s="202">
        <v>875014.43</v>
      </c>
      <c r="E746" s="202">
        <v>1104584.6000000001</v>
      </c>
      <c r="F746" s="172"/>
      <c r="G746" s="172"/>
      <c r="H746" s="172"/>
      <c r="I746" s="670"/>
    </row>
    <row r="747" spans="1:9">
      <c r="A747" s="32">
        <v>1100</v>
      </c>
      <c r="B747" s="677" t="s">
        <v>355</v>
      </c>
      <c r="C747" s="678"/>
      <c r="D747" s="183">
        <f>D748</f>
        <v>0</v>
      </c>
      <c r="E747" s="183">
        <f>E748</f>
        <v>25000</v>
      </c>
      <c r="F747" s="183">
        <f>F748</f>
        <v>0</v>
      </c>
      <c r="G747" s="183">
        <f>G748</f>
        <v>0</v>
      </c>
      <c r="H747" s="183">
        <f>H748</f>
        <v>0</v>
      </c>
      <c r="I747" s="147"/>
    </row>
    <row r="748" spans="1:9" ht="66">
      <c r="A748" s="5" t="s">
        <v>331</v>
      </c>
      <c r="B748" s="2" t="s">
        <v>349</v>
      </c>
      <c r="C748" s="96" t="s">
        <v>350</v>
      </c>
      <c r="D748" s="172"/>
      <c r="E748" s="202">
        <v>25000</v>
      </c>
      <c r="F748" s="172"/>
      <c r="G748" s="172"/>
      <c r="H748" s="172"/>
      <c r="I748" s="119"/>
    </row>
    <row r="749" spans="1:9">
      <c r="A749" s="30">
        <v>1164</v>
      </c>
      <c r="B749" s="679" t="s">
        <v>356</v>
      </c>
      <c r="C749" s="657"/>
      <c r="D749" s="180">
        <f>D750</f>
        <v>1854741.2</v>
      </c>
      <c r="E749" s="180">
        <f>E750</f>
        <v>1815390.4</v>
      </c>
      <c r="F749" s="180">
        <f>F750</f>
        <v>0</v>
      </c>
      <c r="G749" s="180">
        <f>G750</f>
        <v>0</v>
      </c>
      <c r="H749" s="180">
        <f>H750</f>
        <v>0</v>
      </c>
      <c r="I749" s="117"/>
    </row>
    <row r="750" spans="1:9" ht="49.5">
      <c r="A750" s="7" t="s">
        <v>335</v>
      </c>
      <c r="B750" s="2" t="s">
        <v>349</v>
      </c>
      <c r="C750" s="40" t="s">
        <v>351</v>
      </c>
      <c r="D750" s="207">
        <v>1854741.2</v>
      </c>
      <c r="E750" s="182">
        <v>1815390.4</v>
      </c>
      <c r="F750" s="172"/>
      <c r="G750" s="172"/>
      <c r="H750" s="172"/>
      <c r="I750" s="25"/>
    </row>
    <row r="751" spans="1:9">
      <c r="A751" s="35">
        <v>1235</v>
      </c>
      <c r="B751" s="679" t="s">
        <v>358</v>
      </c>
      <c r="C751" s="657"/>
      <c r="D751" s="183">
        <f>D752</f>
        <v>0</v>
      </c>
      <c r="E751" s="183">
        <f>E752</f>
        <v>10000000</v>
      </c>
      <c r="F751" s="183">
        <f>F752</f>
        <v>15000000</v>
      </c>
      <c r="G751" s="183">
        <f>G752</f>
        <v>20000000</v>
      </c>
      <c r="H751" s="183">
        <f>H752</f>
        <v>20000000</v>
      </c>
      <c r="I751" s="114"/>
    </row>
    <row r="752" spans="1:9" ht="33">
      <c r="A752" s="7" t="s">
        <v>352</v>
      </c>
      <c r="B752" s="2" t="s">
        <v>74</v>
      </c>
      <c r="C752" s="40" t="s">
        <v>353</v>
      </c>
      <c r="D752" s="172"/>
      <c r="E752" s="202">
        <v>10000000</v>
      </c>
      <c r="F752" s="182">
        <v>15000000</v>
      </c>
      <c r="G752" s="182">
        <v>20000000</v>
      </c>
      <c r="H752" s="182">
        <v>20000000</v>
      </c>
      <c r="I752" s="25"/>
    </row>
    <row r="753" spans="1:9" s="1" customFormat="1">
      <c r="A753" s="14" t="s">
        <v>17</v>
      </c>
      <c r="B753" s="643" t="s">
        <v>34</v>
      </c>
      <c r="C753" s="644"/>
      <c r="D753" s="176">
        <f>D754+D773</f>
        <v>344617034.65740001</v>
      </c>
      <c r="E753" s="176">
        <f>E754+E773</f>
        <v>349989511.5</v>
      </c>
      <c r="F753" s="176">
        <f>F754+F773</f>
        <v>4867317.5</v>
      </c>
      <c r="G753" s="176">
        <f>G754+G773</f>
        <v>4900927.1999999993</v>
      </c>
      <c r="H753" s="176">
        <f>H754+H773</f>
        <v>4902194.1999999993</v>
      </c>
      <c r="I753" s="112"/>
    </row>
    <row r="754" spans="1:9">
      <c r="A754" s="645" t="s">
        <v>8</v>
      </c>
      <c r="B754" s="646"/>
      <c r="C754" s="647"/>
      <c r="D754" s="177">
        <f>D755+D761+D763+D770</f>
        <v>344569169.47240001</v>
      </c>
      <c r="E754" s="177">
        <f>E755+E761+E763+E770</f>
        <v>349911771.5</v>
      </c>
      <c r="F754" s="177">
        <f>F755+F761+F763+F770</f>
        <v>4788722.5</v>
      </c>
      <c r="G754" s="177">
        <f>G755+G761+G763+G770</f>
        <v>4822332.1999999993</v>
      </c>
      <c r="H754" s="177">
        <f>H755+H761+H763+H770</f>
        <v>4823599.1999999993</v>
      </c>
      <c r="I754" s="113"/>
    </row>
    <row r="755" spans="1:9">
      <c r="A755" s="39">
        <v>1006</v>
      </c>
      <c r="B755" s="641" t="s">
        <v>232</v>
      </c>
      <c r="C755" s="642"/>
      <c r="D755" s="180">
        <f>SUM(D756:D760)</f>
        <v>341093810.41339999</v>
      </c>
      <c r="E755" s="180">
        <f>SUM(E756:E760)</f>
        <v>345177841</v>
      </c>
      <c r="F755" s="180">
        <f>SUM(F756:F760)</f>
        <v>0</v>
      </c>
      <c r="G755" s="180">
        <f>SUM(G756:G760)</f>
        <v>0</v>
      </c>
      <c r="H755" s="180">
        <f>SUM(H756:H760)</f>
        <v>0</v>
      </c>
      <c r="I755" s="149"/>
    </row>
    <row r="756" spans="1:9" ht="40.5">
      <c r="A756" s="26">
        <v>1006</v>
      </c>
      <c r="B756" s="38" t="s">
        <v>233</v>
      </c>
      <c r="C756" s="44" t="s">
        <v>234</v>
      </c>
      <c r="D756" s="202">
        <v>87642670</v>
      </c>
      <c r="E756" s="202">
        <v>5298.3</v>
      </c>
      <c r="F756" s="172"/>
      <c r="G756" s="172"/>
      <c r="H756" s="172"/>
      <c r="I756" s="119"/>
    </row>
    <row r="757" spans="1:9" ht="40.5">
      <c r="A757" s="26">
        <v>1006</v>
      </c>
      <c r="B757" s="38" t="s">
        <v>235</v>
      </c>
      <c r="C757" s="44" t="s">
        <v>236</v>
      </c>
      <c r="D757" s="202">
        <v>5890</v>
      </c>
      <c r="E757" s="202"/>
      <c r="F757" s="172"/>
      <c r="G757" s="172"/>
      <c r="H757" s="172"/>
      <c r="I757" s="119"/>
    </row>
    <row r="758" spans="1:9" ht="40.5">
      <c r="A758" s="26">
        <v>1006</v>
      </c>
      <c r="B758" s="38" t="s">
        <v>237</v>
      </c>
      <c r="C758" s="44" t="s">
        <v>238</v>
      </c>
      <c r="D758" s="202">
        <v>32522.024399999998</v>
      </c>
      <c r="E758" s="202">
        <v>37183.699999999997</v>
      </c>
      <c r="F758" s="172"/>
      <c r="G758" s="172"/>
      <c r="H758" s="172"/>
      <c r="I758" s="119"/>
    </row>
    <row r="759" spans="1:9">
      <c r="A759" s="26">
        <v>1006</v>
      </c>
      <c r="B759" s="38" t="s">
        <v>239</v>
      </c>
      <c r="C759" s="44" t="s">
        <v>240</v>
      </c>
      <c r="D759" s="202">
        <v>253412482.95899999</v>
      </c>
      <c r="E759" s="202">
        <v>345135186</v>
      </c>
      <c r="F759" s="172"/>
      <c r="G759" s="172"/>
      <c r="H759" s="172"/>
      <c r="I759" s="119"/>
    </row>
    <row r="760" spans="1:9">
      <c r="A760" s="26">
        <v>1006</v>
      </c>
      <c r="B760" s="38" t="s">
        <v>241</v>
      </c>
      <c r="C760" s="44" t="s">
        <v>242</v>
      </c>
      <c r="D760" s="202">
        <v>245.43</v>
      </c>
      <c r="E760" s="202">
        <v>173</v>
      </c>
      <c r="F760" s="172"/>
      <c r="G760" s="172"/>
      <c r="H760" s="172"/>
      <c r="I760" s="119"/>
    </row>
    <row r="761" spans="1:9" ht="66" customHeight="1">
      <c r="A761" s="32" t="s">
        <v>243</v>
      </c>
      <c r="B761" s="639" t="s">
        <v>244</v>
      </c>
      <c r="C761" s="640"/>
      <c r="D761" s="180">
        <f>+D762</f>
        <v>0</v>
      </c>
      <c r="E761" s="183">
        <f>+E762</f>
        <v>23600</v>
      </c>
      <c r="F761" s="183">
        <f>+F762</f>
        <v>23600</v>
      </c>
      <c r="G761" s="183">
        <f>+G762</f>
        <v>23600</v>
      </c>
      <c r="H761" s="183">
        <f>+H762</f>
        <v>23600</v>
      </c>
      <c r="I761" s="117"/>
    </row>
    <row r="762" spans="1:9" ht="49.5">
      <c r="A762" s="10">
        <v>1031</v>
      </c>
      <c r="B762" s="38" t="s">
        <v>70</v>
      </c>
      <c r="C762" s="246" t="s">
        <v>244</v>
      </c>
      <c r="D762" s="172">
        <v>0</v>
      </c>
      <c r="E762" s="202">
        <v>23600</v>
      </c>
      <c r="F762" s="202">
        <v>23600</v>
      </c>
      <c r="G762" s="202">
        <v>23600</v>
      </c>
      <c r="H762" s="202">
        <v>23600</v>
      </c>
      <c r="I762" s="25" t="s">
        <v>245</v>
      </c>
    </row>
    <row r="763" spans="1:9" ht="82.5" customHeight="1">
      <c r="A763" s="35" t="s">
        <v>246</v>
      </c>
      <c r="B763" s="637" t="s">
        <v>247</v>
      </c>
      <c r="C763" s="638"/>
      <c r="D763" s="180">
        <f>SUM(D764:D769)</f>
        <v>3356059.0589999999</v>
      </c>
      <c r="E763" s="180">
        <f>SUM(E764:E769)</f>
        <v>4591030.5</v>
      </c>
      <c r="F763" s="180">
        <f>SUM(F764:F769)</f>
        <v>4645822.5</v>
      </c>
      <c r="G763" s="180">
        <f>SUM(G764:G769)</f>
        <v>4679432.1999999993</v>
      </c>
      <c r="H763" s="180">
        <f>SUM(H764:H769)</f>
        <v>4680699.1999999993</v>
      </c>
      <c r="I763" s="117"/>
    </row>
    <row r="764" spans="1:9" ht="67.5">
      <c r="A764" s="5">
        <v>1108</v>
      </c>
      <c r="B764" s="38" t="s">
        <v>70</v>
      </c>
      <c r="C764" s="246" t="s">
        <v>248</v>
      </c>
      <c r="D764" s="202">
        <v>2862640.8</v>
      </c>
      <c r="E764" s="202">
        <v>3021568.8</v>
      </c>
      <c r="F764" s="202">
        <v>3652590</v>
      </c>
      <c r="G764" s="202">
        <v>3680246.1</v>
      </c>
      <c r="H764" s="202">
        <v>3680246.1</v>
      </c>
      <c r="I764" s="119"/>
    </row>
    <row r="765" spans="1:9" ht="409.5">
      <c r="A765" s="5">
        <v>1108</v>
      </c>
      <c r="B765" s="38" t="s">
        <v>233</v>
      </c>
      <c r="C765" s="280" t="s">
        <v>249</v>
      </c>
      <c r="D765" s="202">
        <v>262951.52500000002</v>
      </c>
      <c r="E765" s="202">
        <v>305200</v>
      </c>
      <c r="F765" s="202">
        <v>585200</v>
      </c>
      <c r="G765" s="202">
        <v>585200</v>
      </c>
      <c r="H765" s="202">
        <v>585200</v>
      </c>
      <c r="I765" s="25" t="s">
        <v>250</v>
      </c>
    </row>
    <row r="766" spans="1:9" ht="82.5">
      <c r="A766" s="5">
        <v>1108</v>
      </c>
      <c r="B766" s="38" t="s">
        <v>235</v>
      </c>
      <c r="C766" s="246" t="s">
        <v>251</v>
      </c>
      <c r="D766" s="202">
        <v>79632.843999999997</v>
      </c>
      <c r="E766" s="202">
        <v>134341.70000000001</v>
      </c>
      <c r="F766" s="202">
        <v>108032.5</v>
      </c>
      <c r="G766" s="202">
        <v>113986.1</v>
      </c>
      <c r="H766" s="202">
        <v>115253.1</v>
      </c>
      <c r="I766" s="25" t="s">
        <v>252</v>
      </c>
    </row>
    <row r="767" spans="1:9">
      <c r="A767" s="5">
        <v>1108</v>
      </c>
      <c r="B767" s="38" t="s">
        <v>253</v>
      </c>
      <c r="C767" s="246" t="s">
        <v>254</v>
      </c>
      <c r="D767" s="202">
        <v>0</v>
      </c>
      <c r="E767" s="202">
        <v>829920</v>
      </c>
      <c r="F767" s="172"/>
      <c r="G767" s="172"/>
      <c r="H767" s="172"/>
      <c r="I767" s="119"/>
    </row>
    <row r="768" spans="1:9" ht="27">
      <c r="A768" s="5">
        <v>1108</v>
      </c>
      <c r="B768" s="38" t="s">
        <v>255</v>
      </c>
      <c r="C768" s="246" t="s">
        <v>256</v>
      </c>
      <c r="D768" s="202">
        <v>0</v>
      </c>
      <c r="E768" s="202">
        <v>150000</v>
      </c>
      <c r="F768" s="202">
        <v>150000</v>
      </c>
      <c r="G768" s="202">
        <v>150000</v>
      </c>
      <c r="H768" s="202">
        <v>150000</v>
      </c>
      <c r="I768" s="119"/>
    </row>
    <row r="769" spans="1:9" ht="40.5">
      <c r="A769" s="5">
        <v>1108</v>
      </c>
      <c r="B769" s="38" t="s">
        <v>257</v>
      </c>
      <c r="C769" s="246" t="s">
        <v>258</v>
      </c>
      <c r="D769" s="202">
        <v>150833.89000000001</v>
      </c>
      <c r="E769" s="202">
        <v>150000</v>
      </c>
      <c r="F769" s="202">
        <v>150000</v>
      </c>
      <c r="G769" s="202">
        <v>150000</v>
      </c>
      <c r="H769" s="202">
        <v>150000</v>
      </c>
      <c r="I769" s="119"/>
    </row>
    <row r="770" spans="1:9" ht="33" customHeight="1">
      <c r="A770" s="35" t="s">
        <v>259</v>
      </c>
      <c r="B770" s="637" t="s">
        <v>260</v>
      </c>
      <c r="C770" s="638"/>
      <c r="D770" s="180">
        <f>SUM(D771:D772)</f>
        <v>119300</v>
      </c>
      <c r="E770" s="180">
        <f>SUM(E771:E772)</f>
        <v>119300</v>
      </c>
      <c r="F770" s="180">
        <f>SUM(F771:F772)</f>
        <v>119300</v>
      </c>
      <c r="G770" s="180">
        <f>SUM(G771:G772)</f>
        <v>119300</v>
      </c>
      <c r="H770" s="180">
        <f>SUM(H771:H772)</f>
        <v>119300</v>
      </c>
      <c r="I770" s="117"/>
    </row>
    <row r="771" spans="1:9" ht="66">
      <c r="A771" s="7">
        <v>1137</v>
      </c>
      <c r="B771" s="38" t="s">
        <v>70</v>
      </c>
      <c r="C771" s="246" t="s">
        <v>261</v>
      </c>
      <c r="D771" s="202">
        <v>19700</v>
      </c>
      <c r="E771" s="202">
        <v>19700</v>
      </c>
      <c r="F771" s="202">
        <v>19700</v>
      </c>
      <c r="G771" s="202">
        <v>19700</v>
      </c>
      <c r="H771" s="202">
        <v>19700</v>
      </c>
      <c r="I771" s="25" t="s">
        <v>262</v>
      </c>
    </row>
    <row r="772" spans="1:9" ht="81">
      <c r="A772" s="7">
        <v>1137</v>
      </c>
      <c r="B772" s="38" t="s">
        <v>235</v>
      </c>
      <c r="C772" s="246" t="s">
        <v>263</v>
      </c>
      <c r="D772" s="202">
        <v>99600</v>
      </c>
      <c r="E772" s="202">
        <v>99600</v>
      </c>
      <c r="F772" s="202">
        <v>99600</v>
      </c>
      <c r="G772" s="202">
        <v>99600</v>
      </c>
      <c r="H772" s="202">
        <v>99600</v>
      </c>
      <c r="I772" s="25" t="s">
        <v>262</v>
      </c>
    </row>
    <row r="773" spans="1:9">
      <c r="A773" s="278" t="s">
        <v>9</v>
      </c>
      <c r="B773" s="86"/>
      <c r="C773" s="244"/>
      <c r="D773" s="177">
        <f t="shared" ref="D773:H774" si="54">D774</f>
        <v>47865.184999999998</v>
      </c>
      <c r="E773" s="177">
        <f t="shared" si="54"/>
        <v>77740</v>
      </c>
      <c r="F773" s="177">
        <f t="shared" si="54"/>
        <v>78595</v>
      </c>
      <c r="G773" s="177">
        <f t="shared" si="54"/>
        <v>78595</v>
      </c>
      <c r="H773" s="177">
        <f t="shared" si="54"/>
        <v>78595</v>
      </c>
      <c r="I773" s="113"/>
    </row>
    <row r="774" spans="1:9" ht="82.5" customHeight="1">
      <c r="A774" s="35" t="s">
        <v>246</v>
      </c>
      <c r="B774" s="637" t="s">
        <v>247</v>
      </c>
      <c r="C774" s="638"/>
      <c r="D774" s="180">
        <f t="shared" si="54"/>
        <v>47865.184999999998</v>
      </c>
      <c r="E774" s="180">
        <f t="shared" si="54"/>
        <v>77740</v>
      </c>
      <c r="F774" s="180">
        <f t="shared" si="54"/>
        <v>78595</v>
      </c>
      <c r="G774" s="180">
        <f t="shared" si="54"/>
        <v>78595</v>
      </c>
      <c r="H774" s="180">
        <f t="shared" si="54"/>
        <v>78595</v>
      </c>
      <c r="I774" s="117"/>
    </row>
    <row r="775" spans="1:9" ht="49.5">
      <c r="A775" s="5">
        <v>1108</v>
      </c>
      <c r="B775" s="36" t="s">
        <v>74</v>
      </c>
      <c r="C775" s="96" t="s">
        <v>264</v>
      </c>
      <c r="D775" s="202">
        <v>47865.184999999998</v>
      </c>
      <c r="E775" s="202">
        <v>77740</v>
      </c>
      <c r="F775" s="202">
        <v>78595</v>
      </c>
      <c r="G775" s="202">
        <v>78595</v>
      </c>
      <c r="H775" s="202">
        <v>78595</v>
      </c>
      <c r="I775" s="119"/>
    </row>
    <row r="776" spans="1:9">
      <c r="A776" s="14" t="s">
        <v>17</v>
      </c>
      <c r="B776" s="680" t="s">
        <v>35</v>
      </c>
      <c r="C776" s="681"/>
      <c r="D776" s="176">
        <f>D777+D778</f>
        <v>0</v>
      </c>
      <c r="E776" s="176">
        <f>E777+E778</f>
        <v>0</v>
      </c>
      <c r="F776" s="176">
        <f>F777+F778</f>
        <v>0</v>
      </c>
      <c r="G776" s="176">
        <f>G777+G778</f>
        <v>0</v>
      </c>
      <c r="H776" s="176">
        <f>H777+H778</f>
        <v>0</v>
      </c>
      <c r="I776" s="143"/>
    </row>
    <row r="777" spans="1:9">
      <c r="A777" s="645" t="s">
        <v>8</v>
      </c>
      <c r="B777" s="646"/>
      <c r="C777" s="647"/>
      <c r="D777" s="177"/>
      <c r="E777" s="177"/>
      <c r="F777" s="177"/>
      <c r="G777" s="177"/>
      <c r="H777" s="177"/>
      <c r="I777" s="143"/>
    </row>
    <row r="778" spans="1:9">
      <c r="A778" s="645" t="s">
        <v>9</v>
      </c>
      <c r="B778" s="646"/>
      <c r="C778" s="647"/>
      <c r="D778" s="177"/>
      <c r="E778" s="177"/>
      <c r="F778" s="177"/>
      <c r="G778" s="177"/>
      <c r="H778" s="177"/>
      <c r="I778" s="143"/>
    </row>
    <row r="779" spans="1:9" s="1" customFormat="1">
      <c r="A779" s="14" t="s">
        <v>17</v>
      </c>
      <c r="B779" s="56" t="s">
        <v>36</v>
      </c>
      <c r="C779" s="248"/>
      <c r="D779" s="176">
        <v>0</v>
      </c>
      <c r="E779" s="176">
        <v>0</v>
      </c>
      <c r="F779" s="176">
        <v>0</v>
      </c>
      <c r="G779" s="176">
        <v>0</v>
      </c>
      <c r="H779" s="176">
        <v>0</v>
      </c>
      <c r="I779" s="112" t="s">
        <v>178</v>
      </c>
    </row>
    <row r="780" spans="1:9" s="1" customFormat="1">
      <c r="A780" s="14" t="s">
        <v>17</v>
      </c>
      <c r="B780" s="56" t="s">
        <v>37</v>
      </c>
      <c r="C780" s="248"/>
      <c r="D780" s="176">
        <f>D781+D785</f>
        <v>1119421.7</v>
      </c>
      <c r="E780" s="176">
        <f>E781+E785</f>
        <v>1117339.8999999999</v>
      </c>
      <c r="F780" s="176">
        <f>F781+F785</f>
        <v>1214755.5558</v>
      </c>
      <c r="G780" s="176">
        <f>G781+G785</f>
        <v>1221745.7576981899</v>
      </c>
      <c r="H780" s="176">
        <f>H781+H785</f>
        <v>1232005.7188804201</v>
      </c>
      <c r="I780" s="112"/>
    </row>
    <row r="781" spans="1:9">
      <c r="A781" s="278" t="s">
        <v>8</v>
      </c>
      <c r="B781" s="86"/>
      <c r="C781" s="244"/>
      <c r="D781" s="177">
        <f>D782</f>
        <v>1103788.7</v>
      </c>
      <c r="E781" s="177">
        <f>E782</f>
        <v>1101276.8999999999</v>
      </c>
      <c r="F781" s="177">
        <f>F782</f>
        <v>1202627.5558</v>
      </c>
      <c r="G781" s="177">
        <f>G782</f>
        <v>1209617.7576981899</v>
      </c>
      <c r="H781" s="177">
        <f>H782</f>
        <v>1219877.7188804201</v>
      </c>
      <c r="I781" s="113"/>
    </row>
    <row r="782" spans="1:9">
      <c r="A782" s="37">
        <v>1064</v>
      </c>
      <c r="B782" s="58" t="s">
        <v>319</v>
      </c>
      <c r="C782" s="249"/>
      <c r="D782" s="180">
        <f>SUM(D783:D784)</f>
        <v>1103788.7</v>
      </c>
      <c r="E782" s="180">
        <f>SUM(E783:E784)</f>
        <v>1101276.8999999999</v>
      </c>
      <c r="F782" s="180">
        <f>SUM(F783:F784)</f>
        <v>1202627.5558</v>
      </c>
      <c r="G782" s="180">
        <f>SUM(G783:G784)</f>
        <v>1209617.7576981899</v>
      </c>
      <c r="H782" s="180">
        <f>SUM(H783:H784)</f>
        <v>1219877.7188804201</v>
      </c>
      <c r="I782" s="668" t="s">
        <v>313</v>
      </c>
    </row>
    <row r="783" spans="1:9" ht="33">
      <c r="A783" s="57">
        <v>1064</v>
      </c>
      <c r="B783" s="2">
        <v>11001</v>
      </c>
      <c r="C783" s="40" t="s">
        <v>311</v>
      </c>
      <c r="D783" s="172">
        <f>1024388700/1000</f>
        <v>1024388.7</v>
      </c>
      <c r="E783" s="202">
        <v>1023676.9</v>
      </c>
      <c r="F783" s="202">
        <f>1137155555.8/1000-12128</f>
        <v>1125027.5558</v>
      </c>
      <c r="G783" s="202">
        <f>1144145757.69819/1000-12128</f>
        <v>1132017.7576981899</v>
      </c>
      <c r="H783" s="202">
        <f>1154405718.88042/1000-12128</f>
        <v>1142277.7188804201</v>
      </c>
      <c r="I783" s="669"/>
    </row>
    <row r="784" spans="1:9" ht="66">
      <c r="A784" s="16">
        <v>1064</v>
      </c>
      <c r="B784" s="2">
        <v>11003</v>
      </c>
      <c r="C784" s="40" t="s">
        <v>312</v>
      </c>
      <c r="D784" s="202">
        <f>79400000/1000</f>
        <v>79400</v>
      </c>
      <c r="E784" s="202">
        <v>77600</v>
      </c>
      <c r="F784" s="202">
        <v>77600</v>
      </c>
      <c r="G784" s="202">
        <v>77600</v>
      </c>
      <c r="H784" s="202">
        <v>77600</v>
      </c>
      <c r="I784" s="670"/>
    </row>
    <row r="785" spans="1:9">
      <c r="A785" s="278" t="s">
        <v>9</v>
      </c>
      <c r="B785" s="86"/>
      <c r="C785" s="244"/>
      <c r="D785" s="177">
        <f>D786</f>
        <v>15633</v>
      </c>
      <c r="E785" s="177">
        <f>E786</f>
        <v>16063</v>
      </c>
      <c r="F785" s="177">
        <f>F786</f>
        <v>12128</v>
      </c>
      <c r="G785" s="177">
        <f>G786</f>
        <v>12128</v>
      </c>
      <c r="H785" s="177">
        <f>H786</f>
        <v>12128</v>
      </c>
      <c r="I785" s="113"/>
    </row>
    <row r="786" spans="1:9">
      <c r="A786" s="37">
        <v>1064</v>
      </c>
      <c r="B786" s="58" t="s">
        <v>319</v>
      </c>
      <c r="C786" s="249"/>
      <c r="D786" s="180">
        <f>SUM(D787:D789)</f>
        <v>15633</v>
      </c>
      <c r="E786" s="180">
        <f>SUM(E787:E789)</f>
        <v>16063</v>
      </c>
      <c r="F786" s="180">
        <f>SUM(F787:F789)</f>
        <v>12128</v>
      </c>
      <c r="G786" s="180">
        <f>SUM(G787:G789)</f>
        <v>12128</v>
      </c>
      <c r="H786" s="180">
        <f>SUM(H787:H789)</f>
        <v>12128</v>
      </c>
      <c r="I786" s="117"/>
    </row>
    <row r="787" spans="1:9" ht="66">
      <c r="A787" s="57">
        <v>1064</v>
      </c>
      <c r="B787" s="2">
        <v>31001</v>
      </c>
      <c r="C787" s="40" t="s">
        <v>314</v>
      </c>
      <c r="D787" s="182">
        <f>5633000/1000</f>
        <v>5633</v>
      </c>
      <c r="E787" s="182">
        <v>16063</v>
      </c>
      <c r="F787" s="182">
        <v>12128</v>
      </c>
      <c r="G787" s="182">
        <v>12128</v>
      </c>
      <c r="H787" s="182">
        <v>12128</v>
      </c>
      <c r="I787" s="671" t="s">
        <v>313</v>
      </c>
    </row>
    <row r="788" spans="1:9" ht="66">
      <c r="A788" s="57">
        <v>1064</v>
      </c>
      <c r="B788" s="2">
        <v>31002</v>
      </c>
      <c r="C788" s="40" t="s">
        <v>315</v>
      </c>
      <c r="D788" s="182">
        <v>10000</v>
      </c>
      <c r="E788" s="182" t="s">
        <v>316</v>
      </c>
      <c r="F788" s="182" t="s">
        <v>316</v>
      </c>
      <c r="G788" s="182" t="s">
        <v>316</v>
      </c>
      <c r="H788" s="182" t="s">
        <v>316</v>
      </c>
      <c r="I788" s="671"/>
    </row>
    <row r="789" spans="1:9" ht="165">
      <c r="A789" s="57">
        <v>1064</v>
      </c>
      <c r="B789" s="2">
        <v>31003</v>
      </c>
      <c r="C789" s="40" t="s">
        <v>317</v>
      </c>
      <c r="D789" s="182" t="s">
        <v>316</v>
      </c>
      <c r="E789" s="182" t="s">
        <v>316</v>
      </c>
      <c r="F789" s="182" t="s">
        <v>316</v>
      </c>
      <c r="G789" s="182" t="s">
        <v>316</v>
      </c>
      <c r="H789" s="182" t="s">
        <v>316</v>
      </c>
      <c r="I789" s="150" t="s">
        <v>318</v>
      </c>
    </row>
    <row r="790" spans="1:9" s="1" customFormat="1">
      <c r="A790" s="14" t="s">
        <v>17</v>
      </c>
      <c r="B790" s="56" t="s">
        <v>38</v>
      </c>
      <c r="C790" s="248"/>
      <c r="D790" s="176">
        <f>D791+D796</f>
        <v>678716.53</v>
      </c>
      <c r="E790" s="176">
        <f>E791+E796</f>
        <v>984757</v>
      </c>
      <c r="F790" s="176">
        <f>F791+F796</f>
        <v>0</v>
      </c>
      <c r="G790" s="176">
        <f>G791+G796</f>
        <v>0</v>
      </c>
      <c r="H790" s="176">
        <f>H791+H796</f>
        <v>0</v>
      </c>
      <c r="I790" s="112" t="s">
        <v>267</v>
      </c>
    </row>
    <row r="791" spans="1:9">
      <c r="A791" s="672" t="s">
        <v>8</v>
      </c>
      <c r="B791" s="673"/>
      <c r="C791" s="674"/>
      <c r="D791" s="177">
        <f>D792</f>
        <v>678716.53</v>
      </c>
      <c r="E791" s="177">
        <f>E792</f>
        <v>521657</v>
      </c>
      <c r="F791" s="177">
        <f>F792</f>
        <v>0</v>
      </c>
      <c r="G791" s="177">
        <f>G792</f>
        <v>0</v>
      </c>
      <c r="H791" s="177">
        <f>H792</f>
        <v>0</v>
      </c>
      <c r="I791" s="113"/>
    </row>
    <row r="792" spans="1:9">
      <c r="A792" s="22">
        <v>1096</v>
      </c>
      <c r="B792" s="675" t="s">
        <v>89</v>
      </c>
      <c r="C792" s="676"/>
      <c r="D792" s="180">
        <f>D793+D794+D795</f>
        <v>678716.53</v>
      </c>
      <c r="E792" s="180">
        <f>E793+E794+E795</f>
        <v>521657</v>
      </c>
      <c r="F792" s="180"/>
      <c r="G792" s="180"/>
      <c r="H792" s="180"/>
      <c r="I792" s="141"/>
    </row>
    <row r="793" spans="1:9" ht="40.700000000000003" customHeight="1">
      <c r="A793" s="26">
        <v>1096</v>
      </c>
      <c r="B793" s="27">
        <v>11001</v>
      </c>
      <c r="C793" s="44" t="s">
        <v>90</v>
      </c>
      <c r="D793" s="172">
        <v>455969.73</v>
      </c>
      <c r="E793" s="172">
        <v>494541.7</v>
      </c>
      <c r="F793" s="172"/>
      <c r="G793" s="172"/>
      <c r="H793" s="172"/>
      <c r="I793" s="151"/>
    </row>
    <row r="794" spans="1:9" ht="40.5">
      <c r="A794" s="26">
        <v>1096</v>
      </c>
      <c r="B794" s="27">
        <v>11002</v>
      </c>
      <c r="C794" s="44" t="s">
        <v>91</v>
      </c>
      <c r="D794" s="172">
        <v>81220.240000000005</v>
      </c>
      <c r="E794" s="172">
        <v>19617.099999999999</v>
      </c>
      <c r="F794" s="172"/>
      <c r="G794" s="172"/>
      <c r="H794" s="172"/>
      <c r="I794" s="151"/>
    </row>
    <row r="795" spans="1:9" ht="27">
      <c r="A795" s="26">
        <v>1096</v>
      </c>
      <c r="B795" s="27">
        <v>11003</v>
      </c>
      <c r="C795" s="44" t="s">
        <v>92</v>
      </c>
      <c r="D795" s="172">
        <v>141526.56</v>
      </c>
      <c r="E795" s="172">
        <v>7498.2</v>
      </c>
      <c r="F795" s="172"/>
      <c r="G795" s="172"/>
      <c r="H795" s="172"/>
      <c r="I795" s="151"/>
    </row>
    <row r="796" spans="1:9">
      <c r="A796" s="672" t="s">
        <v>9</v>
      </c>
      <c r="B796" s="673"/>
      <c r="C796" s="674"/>
      <c r="D796" s="177">
        <f>D797</f>
        <v>0</v>
      </c>
      <c r="E796" s="177">
        <f>E797</f>
        <v>463100</v>
      </c>
      <c r="F796" s="177"/>
      <c r="G796" s="177"/>
      <c r="H796" s="177"/>
      <c r="I796" s="113"/>
    </row>
    <row r="797" spans="1:9">
      <c r="A797" s="29">
        <v>1096</v>
      </c>
      <c r="B797" s="639" t="s">
        <v>89</v>
      </c>
      <c r="C797" s="640"/>
      <c r="D797" s="180">
        <f>D798</f>
        <v>0</v>
      </c>
      <c r="E797" s="180">
        <f>E798</f>
        <v>463100</v>
      </c>
      <c r="F797" s="180"/>
      <c r="G797" s="180"/>
      <c r="H797" s="180"/>
      <c r="I797" s="152"/>
    </row>
    <row r="798" spans="1:9" ht="49.7" customHeight="1">
      <c r="A798" s="17">
        <v>1096</v>
      </c>
      <c r="B798" s="2">
        <v>31005</v>
      </c>
      <c r="C798" s="44" t="s">
        <v>93</v>
      </c>
      <c r="D798" s="172">
        <v>0</v>
      </c>
      <c r="E798" s="172">
        <v>463100</v>
      </c>
      <c r="F798" s="172"/>
      <c r="G798" s="172"/>
      <c r="H798" s="172"/>
      <c r="I798" s="153"/>
    </row>
    <row r="799" spans="1:9" s="1" customFormat="1">
      <c r="A799" s="14" t="s">
        <v>17</v>
      </c>
      <c r="B799" s="8" t="s">
        <v>39</v>
      </c>
      <c r="C799" s="228"/>
      <c r="D799" s="176">
        <f>D800+D801</f>
        <v>0</v>
      </c>
      <c r="E799" s="176">
        <f>E800+E801</f>
        <v>0</v>
      </c>
      <c r="F799" s="176">
        <f>F800+F801</f>
        <v>0</v>
      </c>
      <c r="G799" s="176">
        <f>G800+G801</f>
        <v>0</v>
      </c>
      <c r="H799" s="176">
        <f>H800+H801</f>
        <v>0</v>
      </c>
      <c r="I799" s="277"/>
    </row>
    <row r="800" spans="1:9">
      <c r="A800" s="645" t="s">
        <v>8</v>
      </c>
      <c r="B800" s="646"/>
      <c r="C800" s="647"/>
      <c r="D800" s="177"/>
      <c r="E800" s="177"/>
      <c r="F800" s="177"/>
      <c r="G800" s="177"/>
      <c r="H800" s="177"/>
      <c r="I800" s="143"/>
    </row>
    <row r="801" spans="1:9">
      <c r="A801" s="645" t="s">
        <v>9</v>
      </c>
      <c r="B801" s="646"/>
      <c r="C801" s="647"/>
      <c r="D801" s="177"/>
      <c r="E801" s="177"/>
      <c r="F801" s="177"/>
      <c r="G801" s="177"/>
      <c r="H801" s="177"/>
      <c r="I801" s="143"/>
    </row>
    <row r="802" spans="1:9" s="1" customFormat="1">
      <c r="A802" s="14" t="s">
        <v>17</v>
      </c>
      <c r="B802" s="56" t="s">
        <v>40</v>
      </c>
      <c r="C802" s="248"/>
      <c r="D802" s="176">
        <f>D803+D806</f>
        <v>4344634.1000000006</v>
      </c>
      <c r="E802" s="176">
        <f>E803+E806</f>
        <v>4497483.5</v>
      </c>
      <c r="F802" s="176">
        <f>F803+F806</f>
        <v>7702141.5999999996</v>
      </c>
      <c r="G802" s="176">
        <f>G803+G806</f>
        <v>5076482</v>
      </c>
      <c r="H802" s="176">
        <f>H803+H806</f>
        <v>4925621</v>
      </c>
      <c r="I802" s="112"/>
    </row>
    <row r="803" spans="1:9">
      <c r="A803" s="278" t="s">
        <v>8</v>
      </c>
      <c r="B803" s="86"/>
      <c r="C803" s="244"/>
      <c r="D803" s="177">
        <f t="shared" ref="D803:H804" si="55">D804</f>
        <v>4163209.47</v>
      </c>
      <c r="E803" s="177">
        <f t="shared" si="55"/>
        <v>4207483.5</v>
      </c>
      <c r="F803" s="177">
        <f t="shared" si="55"/>
        <v>4417857</v>
      </c>
      <c r="G803" s="177">
        <f t="shared" si="55"/>
        <v>4638739</v>
      </c>
      <c r="H803" s="177">
        <f t="shared" si="55"/>
        <v>4875621</v>
      </c>
      <c r="I803" s="113"/>
    </row>
    <row r="804" spans="1:9">
      <c r="A804" s="32">
        <v>1012</v>
      </c>
      <c r="B804" s="654" t="s">
        <v>288</v>
      </c>
      <c r="C804" s="655"/>
      <c r="D804" s="180">
        <f t="shared" si="55"/>
        <v>4163209.47</v>
      </c>
      <c r="E804" s="180">
        <f t="shared" si="55"/>
        <v>4207483.5</v>
      </c>
      <c r="F804" s="180">
        <f t="shared" si="55"/>
        <v>4417857</v>
      </c>
      <c r="G804" s="180">
        <f t="shared" si="55"/>
        <v>4638739</v>
      </c>
      <c r="H804" s="180">
        <f t="shared" si="55"/>
        <v>4875621</v>
      </c>
      <c r="I804" s="114"/>
    </row>
    <row r="805" spans="1:9" ht="66" customHeight="1">
      <c r="A805" s="5">
        <v>1012</v>
      </c>
      <c r="B805" s="2">
        <v>11001</v>
      </c>
      <c r="C805" s="40" t="s">
        <v>289</v>
      </c>
      <c r="D805" s="172">
        <v>4163209.47</v>
      </c>
      <c r="E805" s="172">
        <v>4207483.5</v>
      </c>
      <c r="F805" s="172">
        <v>4417857</v>
      </c>
      <c r="G805" s="172">
        <v>4638739</v>
      </c>
      <c r="H805" s="193">
        <v>4875621</v>
      </c>
      <c r="I805" s="119"/>
    </row>
    <row r="806" spans="1:9">
      <c r="A806" s="278" t="s">
        <v>9</v>
      </c>
      <c r="B806" s="86"/>
      <c r="C806" s="244"/>
      <c r="D806" s="177">
        <f>D807</f>
        <v>181424.63</v>
      </c>
      <c r="E806" s="177">
        <f>E807</f>
        <v>290000</v>
      </c>
      <c r="F806" s="177">
        <f>F807</f>
        <v>3284284.6</v>
      </c>
      <c r="G806" s="177">
        <f>G807</f>
        <v>437743</v>
      </c>
      <c r="H806" s="177">
        <f>H807</f>
        <v>50000</v>
      </c>
      <c r="I806" s="113"/>
    </row>
    <row r="807" spans="1:9">
      <c r="A807" s="32">
        <v>1012</v>
      </c>
      <c r="B807" s="654" t="s">
        <v>288</v>
      </c>
      <c r="C807" s="655"/>
      <c r="D807" s="180">
        <f>SUM(D808:D817)</f>
        <v>181424.63</v>
      </c>
      <c r="E807" s="180">
        <f>SUM(E808:E817)</f>
        <v>290000</v>
      </c>
      <c r="F807" s="180">
        <f>SUM(F808:F817)</f>
        <v>3284284.6</v>
      </c>
      <c r="G807" s="180">
        <f>SUM(G808:G817)</f>
        <v>437743</v>
      </c>
      <c r="H807" s="180">
        <f>SUM(H808:H817)</f>
        <v>50000</v>
      </c>
      <c r="I807" s="114"/>
    </row>
    <row r="808" spans="1:9" ht="66" customHeight="1">
      <c r="A808" s="5">
        <v>1012</v>
      </c>
      <c r="B808" s="2">
        <v>31001</v>
      </c>
      <c r="C808" s="40" t="s">
        <v>290</v>
      </c>
      <c r="D808" s="172"/>
      <c r="E808" s="172"/>
      <c r="F808" s="172">
        <v>2206192.6</v>
      </c>
      <c r="G808" s="172"/>
      <c r="H808" s="172"/>
      <c r="I808" s="111" t="s">
        <v>291</v>
      </c>
    </row>
    <row r="809" spans="1:9" ht="33">
      <c r="A809" s="5">
        <v>1012</v>
      </c>
      <c r="B809" s="2">
        <v>31002</v>
      </c>
      <c r="C809" s="40" t="s">
        <v>292</v>
      </c>
      <c r="D809" s="172">
        <v>146424.63</v>
      </c>
      <c r="E809" s="193">
        <v>150000</v>
      </c>
      <c r="F809" s="172">
        <v>50000</v>
      </c>
      <c r="G809" s="172">
        <v>50000</v>
      </c>
      <c r="H809" s="172">
        <v>50000</v>
      </c>
      <c r="I809" s="111" t="s">
        <v>293</v>
      </c>
    </row>
    <row r="810" spans="1:9" ht="66">
      <c r="A810" s="5">
        <v>1012</v>
      </c>
      <c r="B810" s="2">
        <v>31003</v>
      </c>
      <c r="C810" s="40" t="s">
        <v>294</v>
      </c>
      <c r="D810" s="172"/>
      <c r="E810" s="172">
        <v>60000</v>
      </c>
      <c r="F810" s="172"/>
      <c r="G810" s="172"/>
      <c r="H810" s="172"/>
      <c r="I810" s="25" t="s">
        <v>295</v>
      </c>
    </row>
    <row r="811" spans="1:9" ht="49.5">
      <c r="A811" s="5">
        <v>1012</v>
      </c>
      <c r="B811" s="2">
        <v>31005</v>
      </c>
      <c r="C811" s="40" t="s">
        <v>296</v>
      </c>
      <c r="D811" s="172"/>
      <c r="E811" s="172"/>
      <c r="F811" s="172"/>
      <c r="G811" s="172">
        <v>170000</v>
      </c>
      <c r="H811" s="172"/>
      <c r="I811" s="25" t="s">
        <v>293</v>
      </c>
    </row>
    <row r="812" spans="1:9" ht="49.5">
      <c r="A812" s="5">
        <v>1012</v>
      </c>
      <c r="B812" s="2">
        <v>31007</v>
      </c>
      <c r="C812" s="40" t="s">
        <v>271</v>
      </c>
      <c r="D812" s="172">
        <v>35000</v>
      </c>
      <c r="E812" s="172"/>
      <c r="F812" s="172"/>
      <c r="G812" s="172"/>
      <c r="H812" s="172"/>
      <c r="I812" s="25" t="s">
        <v>297</v>
      </c>
    </row>
    <row r="813" spans="1:9" ht="66">
      <c r="A813" s="5">
        <v>1012</v>
      </c>
      <c r="B813" s="2">
        <v>31014</v>
      </c>
      <c r="C813" s="40" t="s">
        <v>298</v>
      </c>
      <c r="D813" s="172"/>
      <c r="E813" s="172">
        <v>80000</v>
      </c>
      <c r="F813" s="172">
        <v>80000</v>
      </c>
      <c r="G813" s="193">
        <v>159250</v>
      </c>
      <c r="H813" s="172"/>
      <c r="I813" s="25" t="s">
        <v>299</v>
      </c>
    </row>
    <row r="814" spans="1:9" ht="132">
      <c r="A814" s="5">
        <v>1012</v>
      </c>
      <c r="B814" s="2">
        <v>31015</v>
      </c>
      <c r="C814" s="40" t="s">
        <v>300</v>
      </c>
      <c r="D814" s="172"/>
      <c r="E814" s="172"/>
      <c r="F814" s="172">
        <v>48393</v>
      </c>
      <c r="G814" s="172">
        <v>58493</v>
      </c>
      <c r="H814" s="172"/>
      <c r="I814" s="25" t="s">
        <v>299</v>
      </c>
    </row>
    <row r="815" spans="1:9" ht="49.5">
      <c r="A815" s="5">
        <v>1012</v>
      </c>
      <c r="B815" s="2">
        <v>31016</v>
      </c>
      <c r="C815" s="40" t="s">
        <v>301</v>
      </c>
      <c r="D815" s="172"/>
      <c r="E815" s="172"/>
      <c r="F815" s="172">
        <v>449699</v>
      </c>
      <c r="G815" s="172"/>
      <c r="H815" s="172"/>
      <c r="I815" s="25" t="s">
        <v>299</v>
      </c>
    </row>
    <row r="816" spans="1:9" ht="66">
      <c r="A816" s="5">
        <v>1012</v>
      </c>
      <c r="B816" s="2"/>
      <c r="C816" s="40" t="s">
        <v>302</v>
      </c>
      <c r="D816" s="172"/>
      <c r="E816" s="172"/>
      <c r="F816" s="172">
        <v>400000</v>
      </c>
      <c r="G816" s="172"/>
      <c r="H816" s="172"/>
      <c r="I816" s="25" t="s">
        <v>293</v>
      </c>
    </row>
    <row r="817" spans="1:9" ht="82.5">
      <c r="A817" s="5">
        <v>1012</v>
      </c>
      <c r="B817" s="2"/>
      <c r="C817" s="40" t="s">
        <v>303</v>
      </c>
      <c r="D817" s="172"/>
      <c r="E817" s="172"/>
      <c r="F817" s="172">
        <v>50000</v>
      </c>
      <c r="G817" s="172"/>
      <c r="H817" s="172"/>
      <c r="I817" s="25" t="s">
        <v>293</v>
      </c>
    </row>
    <row r="818" spans="1:9">
      <c r="A818" s="162" t="s">
        <v>17</v>
      </c>
      <c r="B818" s="9" t="s">
        <v>41</v>
      </c>
      <c r="C818" s="221"/>
      <c r="D818" s="176">
        <v>0</v>
      </c>
      <c r="E818" s="176">
        <v>0</v>
      </c>
      <c r="F818" s="176">
        <v>0</v>
      </c>
      <c r="G818" s="176">
        <v>0</v>
      </c>
      <c r="H818" s="176">
        <v>0</v>
      </c>
      <c r="I818" s="143"/>
    </row>
    <row r="819" spans="1:9" s="1" customFormat="1">
      <c r="A819" s="14" t="s">
        <v>17</v>
      </c>
      <c r="B819" s="643" t="s">
        <v>42</v>
      </c>
      <c r="C819" s="644"/>
      <c r="D819" s="176">
        <f>D820+D830</f>
        <v>30791514.379999995</v>
      </c>
      <c r="E819" s="176">
        <f t="shared" ref="E819:H819" si="56">E820+E830</f>
        <v>109438733.5</v>
      </c>
      <c r="F819" s="176">
        <f t="shared" si="56"/>
        <v>141001111.5</v>
      </c>
      <c r="G819" s="176">
        <f t="shared" si="56"/>
        <v>150755058.6064288</v>
      </c>
      <c r="H819" s="176">
        <f t="shared" si="56"/>
        <v>146923949.847</v>
      </c>
      <c r="I819" s="277"/>
    </row>
    <row r="820" spans="1:9">
      <c r="A820" s="645" t="s">
        <v>8</v>
      </c>
      <c r="B820" s="646"/>
      <c r="C820" s="647"/>
      <c r="D820" s="177">
        <f>D821+D828</f>
        <v>26853667.299999997</v>
      </c>
      <c r="E820" s="177">
        <f t="shared" ref="E820:H820" si="57">E821+E828</f>
        <v>101536290</v>
      </c>
      <c r="F820" s="177">
        <f t="shared" si="57"/>
        <v>127334140.7</v>
      </c>
      <c r="G820" s="177">
        <f t="shared" si="57"/>
        <v>133347003.77</v>
      </c>
      <c r="H820" s="177">
        <f t="shared" si="57"/>
        <v>138361153.14700001</v>
      </c>
      <c r="I820" s="143"/>
    </row>
    <row r="821" spans="1:9">
      <c r="A821" s="87">
        <v>1023</v>
      </c>
      <c r="B821" s="656" t="s">
        <v>1025</v>
      </c>
      <c r="C821" s="657"/>
      <c r="D821" s="180">
        <f>SUM(D822:D827)</f>
        <v>26853667.299999997</v>
      </c>
      <c r="E821" s="180">
        <f t="shared" ref="E821:H821" si="58">SUM(E822:E827)</f>
        <v>29536290</v>
      </c>
      <c r="F821" s="180">
        <f t="shared" si="58"/>
        <v>33334140.699999999</v>
      </c>
      <c r="G821" s="180">
        <f t="shared" si="58"/>
        <v>33347003.77</v>
      </c>
      <c r="H821" s="180">
        <f t="shared" si="58"/>
        <v>33361153.147</v>
      </c>
      <c r="I821" s="130"/>
    </row>
    <row r="822" spans="1:9" s="3" customFormat="1" ht="206.25" customHeight="1">
      <c r="A822" s="60">
        <v>1023</v>
      </c>
      <c r="B822" s="36" t="s">
        <v>70</v>
      </c>
      <c r="C822" s="36" t="s">
        <v>1011</v>
      </c>
      <c r="D822" s="291">
        <v>21182757.899999995</v>
      </c>
      <c r="E822" s="291">
        <v>23915265.5</v>
      </c>
      <c r="F822" s="291">
        <v>27635979.5</v>
      </c>
      <c r="G822" s="291">
        <f>+F822</f>
        <v>27635979.5</v>
      </c>
      <c r="H822" s="292">
        <f>+G822</f>
        <v>27635979.5</v>
      </c>
      <c r="I822" s="7" t="s">
        <v>1012</v>
      </c>
    </row>
    <row r="823" spans="1:9" s="3" customFormat="1" ht="221.25" customHeight="1">
      <c r="A823" s="60">
        <v>1023</v>
      </c>
      <c r="B823" s="36" t="s">
        <v>235</v>
      </c>
      <c r="C823" s="36" t="s">
        <v>1013</v>
      </c>
      <c r="D823" s="291">
        <v>181909</v>
      </c>
      <c r="E823" s="291">
        <v>153724.79999999999</v>
      </c>
      <c r="F823" s="291">
        <v>193724.79999999999</v>
      </c>
      <c r="G823" s="291">
        <v>193724.79999999999</v>
      </c>
      <c r="H823" s="291">
        <v>193724.79999999999</v>
      </c>
      <c r="I823" s="10" t="s">
        <v>1014</v>
      </c>
    </row>
    <row r="824" spans="1:9" s="3" customFormat="1" ht="174.75" customHeight="1">
      <c r="A824" s="60">
        <v>1023</v>
      </c>
      <c r="B824" s="36" t="s">
        <v>237</v>
      </c>
      <c r="C824" s="36" t="s">
        <v>1015</v>
      </c>
      <c r="D824" s="291">
        <v>5292000</v>
      </c>
      <c r="E824" s="291">
        <v>5292000</v>
      </c>
      <c r="F824" s="291">
        <v>5292000</v>
      </c>
      <c r="G824" s="291">
        <v>5292000</v>
      </c>
      <c r="H824" s="293">
        <f>+G824</f>
        <v>5292000</v>
      </c>
      <c r="I824" s="10" t="s">
        <v>1016</v>
      </c>
    </row>
    <row r="825" spans="1:9" s="3" customFormat="1" ht="180.75" customHeight="1">
      <c r="A825" s="60">
        <v>1023</v>
      </c>
      <c r="B825" s="36" t="s">
        <v>333</v>
      </c>
      <c r="C825" s="36" t="s">
        <v>1017</v>
      </c>
      <c r="D825" s="291">
        <v>116937</v>
      </c>
      <c r="E825" s="291">
        <v>91494</v>
      </c>
      <c r="F825" s="291">
        <v>128630.7</v>
      </c>
      <c r="G825" s="291">
        <v>141493.77000000002</v>
      </c>
      <c r="H825" s="291">
        <v>155643.14700000003</v>
      </c>
      <c r="I825" s="10" t="s">
        <v>1018</v>
      </c>
    </row>
    <row r="826" spans="1:9" s="3" customFormat="1" ht="176.25" customHeight="1">
      <c r="A826" s="60">
        <v>1023</v>
      </c>
      <c r="B826" s="36" t="s">
        <v>839</v>
      </c>
      <c r="C826" s="36" t="s">
        <v>1019</v>
      </c>
      <c r="D826" s="291">
        <v>75451.3</v>
      </c>
      <c r="E826" s="291">
        <v>77805.7</v>
      </c>
      <c r="F826" s="291">
        <v>77805.7</v>
      </c>
      <c r="G826" s="291">
        <v>77805.7</v>
      </c>
      <c r="H826" s="291">
        <v>77805.7</v>
      </c>
      <c r="I826" s="10" t="s">
        <v>1020</v>
      </c>
    </row>
    <row r="827" spans="1:9" s="3" customFormat="1" ht="177" customHeight="1">
      <c r="A827" s="60">
        <v>1023</v>
      </c>
      <c r="B827" s="36" t="s">
        <v>257</v>
      </c>
      <c r="C827" s="36" t="s">
        <v>1021</v>
      </c>
      <c r="D827" s="291">
        <v>4612.1000000000004</v>
      </c>
      <c r="E827" s="291">
        <v>6000</v>
      </c>
      <c r="F827" s="291">
        <v>6000</v>
      </c>
      <c r="G827" s="291">
        <v>6000</v>
      </c>
      <c r="H827" s="293">
        <f>+G827</f>
        <v>6000</v>
      </c>
      <c r="I827" s="10" t="s">
        <v>1022</v>
      </c>
    </row>
    <row r="828" spans="1:9">
      <c r="A828" s="87">
        <v>1239</v>
      </c>
      <c r="B828" s="656" t="s">
        <v>1026</v>
      </c>
      <c r="C828" s="657"/>
      <c r="D828" s="180">
        <f>D829</f>
        <v>0</v>
      </c>
      <c r="E828" s="180">
        <f t="shared" ref="E828:H828" si="59">E829</f>
        <v>72000000</v>
      </c>
      <c r="F828" s="180">
        <f t="shared" si="59"/>
        <v>94000000</v>
      </c>
      <c r="G828" s="180">
        <f t="shared" si="59"/>
        <v>100000000</v>
      </c>
      <c r="H828" s="180">
        <f t="shared" si="59"/>
        <v>105000000</v>
      </c>
      <c r="I828" s="130"/>
    </row>
    <row r="829" spans="1:9" ht="82.5">
      <c r="A829" s="57">
        <v>1239</v>
      </c>
      <c r="B829" s="7">
        <v>11001</v>
      </c>
      <c r="C829" s="36" t="s">
        <v>1023</v>
      </c>
      <c r="D829" s="279">
        <v>0</v>
      </c>
      <c r="E829" s="279">
        <v>72000000</v>
      </c>
      <c r="F829" s="279">
        <v>94000000</v>
      </c>
      <c r="G829" s="279">
        <v>100000000</v>
      </c>
      <c r="H829" s="279">
        <v>105000000</v>
      </c>
      <c r="I829" s="10" t="s">
        <v>1024</v>
      </c>
    </row>
    <row r="830" spans="1:9">
      <c r="A830" s="645" t="s">
        <v>9</v>
      </c>
      <c r="B830" s="646"/>
      <c r="C830" s="647"/>
      <c r="D830" s="177">
        <f>D831</f>
        <v>3937847.08</v>
      </c>
      <c r="E830" s="177">
        <f t="shared" ref="E830:H830" si="60">E831</f>
        <v>7902443.5000000009</v>
      </c>
      <c r="F830" s="177">
        <f t="shared" si="60"/>
        <v>13666970.800000001</v>
      </c>
      <c r="G830" s="177">
        <f t="shared" si="60"/>
        <v>17408054.836428799</v>
      </c>
      <c r="H830" s="177">
        <f t="shared" si="60"/>
        <v>8562796.6999999993</v>
      </c>
      <c r="I830" s="143"/>
    </row>
    <row r="831" spans="1:9">
      <c r="A831" s="87">
        <v>1023</v>
      </c>
      <c r="B831" s="656" t="s">
        <v>1025</v>
      </c>
      <c r="C831" s="657"/>
      <c r="D831" s="180">
        <f>SUM(D832:D837)</f>
        <v>3937847.08</v>
      </c>
      <c r="E831" s="180">
        <f t="shared" ref="E831:H831" si="61">SUM(E832:E837)</f>
        <v>7902443.5000000009</v>
      </c>
      <c r="F831" s="180">
        <f t="shared" si="61"/>
        <v>13666970.800000001</v>
      </c>
      <c r="G831" s="180">
        <f t="shared" si="61"/>
        <v>17408054.836428799</v>
      </c>
      <c r="H831" s="180">
        <f t="shared" si="61"/>
        <v>8562796.6999999993</v>
      </c>
      <c r="I831" s="130"/>
    </row>
    <row r="832" spans="1:9" s="3" customFormat="1" ht="99">
      <c r="A832" s="60">
        <v>1023</v>
      </c>
      <c r="B832" s="36" t="s">
        <v>74</v>
      </c>
      <c r="C832" s="36" t="s">
        <v>999</v>
      </c>
      <c r="D832" s="279">
        <v>1696249.6</v>
      </c>
      <c r="E832" s="279">
        <v>287796.7</v>
      </c>
      <c r="F832" s="279">
        <v>287796.70000000007</v>
      </c>
      <c r="G832" s="279">
        <v>287796.70000000007</v>
      </c>
      <c r="H832" s="279">
        <v>287796.70000000007</v>
      </c>
      <c r="I832" s="10" t="s">
        <v>1000</v>
      </c>
    </row>
    <row r="833" spans="1:9" s="3" customFormat="1" ht="82.5">
      <c r="A833" s="60">
        <v>1023</v>
      </c>
      <c r="B833" s="36" t="s">
        <v>345</v>
      </c>
      <c r="C833" s="36" t="s">
        <v>1001</v>
      </c>
      <c r="D833" s="279">
        <v>1132065.5</v>
      </c>
      <c r="E833" s="279">
        <v>2684459</v>
      </c>
      <c r="F833" s="279">
        <v>5940000</v>
      </c>
      <c r="G833" s="279">
        <v>5085000</v>
      </c>
      <c r="H833" s="279">
        <v>7775000</v>
      </c>
      <c r="I833" s="7" t="s">
        <v>1002</v>
      </c>
    </row>
    <row r="834" spans="1:9" s="3" customFormat="1" ht="99">
      <c r="A834" s="60">
        <v>1023</v>
      </c>
      <c r="B834" s="36" t="s">
        <v>347</v>
      </c>
      <c r="C834" s="36" t="s">
        <v>1003</v>
      </c>
      <c r="D834" s="279">
        <v>0</v>
      </c>
      <c r="E834" s="279">
        <v>57030.5</v>
      </c>
      <c r="F834" s="279">
        <v>185750</v>
      </c>
      <c r="G834" s="279">
        <v>500000</v>
      </c>
      <c r="H834" s="279">
        <v>500000</v>
      </c>
      <c r="I834" s="7" t="s">
        <v>1004</v>
      </c>
    </row>
    <row r="835" spans="1:9" s="3" customFormat="1" ht="115.5">
      <c r="A835" s="60">
        <v>1023</v>
      </c>
      <c r="B835" s="36" t="s">
        <v>904</v>
      </c>
      <c r="C835" s="36" t="s">
        <v>1005</v>
      </c>
      <c r="D835" s="279">
        <v>0</v>
      </c>
      <c r="E835" s="279">
        <v>1935466.1</v>
      </c>
      <c r="F835" s="279">
        <v>1310008.3</v>
      </c>
      <c r="G835" s="279">
        <v>2113161.12</v>
      </c>
      <c r="H835" s="279">
        <v>0</v>
      </c>
      <c r="I835" s="658" t="s">
        <v>1006</v>
      </c>
    </row>
    <row r="836" spans="1:9" s="3" customFormat="1" ht="115.5">
      <c r="A836" s="60">
        <v>1023</v>
      </c>
      <c r="B836" s="36" t="s">
        <v>1007</v>
      </c>
      <c r="C836" s="36" t="s">
        <v>1008</v>
      </c>
      <c r="D836" s="279">
        <v>1109531.98</v>
      </c>
      <c r="E836" s="279">
        <v>2787691.2</v>
      </c>
      <c r="F836" s="279">
        <f>1886831.6/2</f>
        <v>943415.8</v>
      </c>
      <c r="G836" s="279">
        <v>572097.01642879925</v>
      </c>
      <c r="H836" s="279">
        <v>0</v>
      </c>
      <c r="I836" s="659"/>
    </row>
    <row r="837" spans="1:9" s="3" customFormat="1" ht="115.5">
      <c r="A837" s="60">
        <v>1023</v>
      </c>
      <c r="B837" s="36" t="s">
        <v>906</v>
      </c>
      <c r="C837" s="36" t="s">
        <v>1009</v>
      </c>
      <c r="D837" s="279">
        <v>0</v>
      </c>
      <c r="E837" s="279">
        <v>150000</v>
      </c>
      <c r="F837" s="279">
        <v>5000000</v>
      </c>
      <c r="G837" s="279">
        <v>8850000</v>
      </c>
      <c r="H837" s="279">
        <v>0</v>
      </c>
      <c r="I837" s="36" t="s">
        <v>1010</v>
      </c>
    </row>
    <row r="838" spans="1:9" s="1" customFormat="1">
      <c r="A838" s="14" t="s">
        <v>17</v>
      </c>
      <c r="B838" s="8" t="s">
        <v>43</v>
      </c>
      <c r="C838" s="241"/>
      <c r="D838" s="176">
        <f>D839+D845</f>
        <v>42879057.589999996</v>
      </c>
      <c r="E838" s="176">
        <f>E839+E845</f>
        <v>52008060.299999997</v>
      </c>
      <c r="F838" s="176">
        <f>F839+F845</f>
        <v>51742005.840000004</v>
      </c>
      <c r="G838" s="176">
        <f>G839+G845</f>
        <v>52247981.350000001</v>
      </c>
      <c r="H838" s="176">
        <f>H839+H845</f>
        <v>52590134.869999997</v>
      </c>
      <c r="I838" s="112"/>
    </row>
    <row r="839" spans="1:9">
      <c r="A839" s="278" t="s">
        <v>8</v>
      </c>
      <c r="B839" s="86"/>
      <c r="C839" s="244"/>
      <c r="D839" s="177">
        <f>D840</f>
        <v>39894657.599999994</v>
      </c>
      <c r="E839" s="177">
        <f>E840</f>
        <v>48896932</v>
      </c>
      <c r="F839" s="177">
        <f>F840</f>
        <v>48896932</v>
      </c>
      <c r="G839" s="177">
        <f>G840</f>
        <v>48896932</v>
      </c>
      <c r="H839" s="177">
        <f>H840</f>
        <v>48896932</v>
      </c>
      <c r="I839" s="113"/>
    </row>
    <row r="840" spans="1:9">
      <c r="A840" s="31">
        <v>1138</v>
      </c>
      <c r="B840" s="53" t="s">
        <v>214</v>
      </c>
      <c r="C840" s="250"/>
      <c r="D840" s="180">
        <f>SUM(D841:D844)</f>
        <v>39894657.599999994</v>
      </c>
      <c r="E840" s="180">
        <f>SUM(E841:E844)</f>
        <v>48896932</v>
      </c>
      <c r="F840" s="180">
        <f>SUM(F841:F844)</f>
        <v>48896932</v>
      </c>
      <c r="G840" s="180">
        <f>SUM(G841:G844)</f>
        <v>48896932</v>
      </c>
      <c r="H840" s="180">
        <f>SUM(H841:H844)</f>
        <v>48896932</v>
      </c>
      <c r="I840" s="117"/>
    </row>
    <row r="841" spans="1:9" ht="67.5">
      <c r="A841" s="20">
        <v>1138</v>
      </c>
      <c r="B841" s="24">
        <v>11001</v>
      </c>
      <c r="C841" s="44" t="s">
        <v>215</v>
      </c>
      <c r="D841" s="193">
        <v>29841903.059999999</v>
      </c>
      <c r="E841" s="193">
        <v>38877576</v>
      </c>
      <c r="F841" s="193">
        <v>38877576</v>
      </c>
      <c r="G841" s="193">
        <v>38877576</v>
      </c>
      <c r="H841" s="193">
        <v>38877576</v>
      </c>
      <c r="I841" s="125"/>
    </row>
    <row r="842" spans="1:9" ht="40.5">
      <c r="A842" s="20">
        <v>1138</v>
      </c>
      <c r="B842" s="24">
        <v>11002</v>
      </c>
      <c r="C842" s="44" t="s">
        <v>216</v>
      </c>
      <c r="D842" s="193">
        <v>33398.54</v>
      </c>
      <c r="E842" s="193">
        <v>0</v>
      </c>
      <c r="F842" s="193">
        <v>0</v>
      </c>
      <c r="G842" s="193">
        <v>0</v>
      </c>
      <c r="H842" s="193">
        <v>0</v>
      </c>
      <c r="I842" s="125"/>
    </row>
    <row r="843" spans="1:9" ht="54">
      <c r="A843" s="20">
        <v>1138</v>
      </c>
      <c r="B843" s="24">
        <v>11003</v>
      </c>
      <c r="C843" s="44" t="s">
        <v>217</v>
      </c>
      <c r="D843" s="193">
        <v>0</v>
      </c>
      <c r="E843" s="193">
        <v>0</v>
      </c>
      <c r="F843" s="193">
        <v>0</v>
      </c>
      <c r="G843" s="193">
        <v>0</v>
      </c>
      <c r="H843" s="193">
        <v>0</v>
      </c>
      <c r="I843" s="125"/>
    </row>
    <row r="844" spans="1:9">
      <c r="A844" s="20">
        <v>1138</v>
      </c>
      <c r="B844" s="24">
        <v>11004</v>
      </c>
      <c r="C844" s="44" t="s">
        <v>218</v>
      </c>
      <c r="D844" s="193">
        <v>10019356</v>
      </c>
      <c r="E844" s="193">
        <v>10019356</v>
      </c>
      <c r="F844" s="193">
        <v>10019356</v>
      </c>
      <c r="G844" s="193">
        <v>10019356</v>
      </c>
      <c r="H844" s="193">
        <v>10019356</v>
      </c>
      <c r="I844" s="125"/>
    </row>
    <row r="845" spans="1:9">
      <c r="A845" s="278" t="s">
        <v>9</v>
      </c>
      <c r="B845" s="86"/>
      <c r="C845" s="244"/>
      <c r="D845" s="177">
        <f>D846</f>
        <v>2984399.99</v>
      </c>
      <c r="E845" s="177">
        <f>E846</f>
        <v>3111128.3</v>
      </c>
      <c r="F845" s="177">
        <f>F846</f>
        <v>2845073.84</v>
      </c>
      <c r="G845" s="177">
        <f>G846</f>
        <v>3351049.35</v>
      </c>
      <c r="H845" s="177">
        <f>H846</f>
        <v>3693202.87</v>
      </c>
      <c r="I845" s="113"/>
    </row>
    <row r="846" spans="1:9">
      <c r="A846" s="31">
        <v>1138</v>
      </c>
      <c r="B846" s="88" t="s">
        <v>214</v>
      </c>
      <c r="C846" s="251"/>
      <c r="D846" s="180">
        <f>SUM(D847:D849)</f>
        <v>2984399.99</v>
      </c>
      <c r="E846" s="180">
        <f>SUM(E847:E849)</f>
        <v>3111128.3</v>
      </c>
      <c r="F846" s="180">
        <f>SUM(F847:F849)</f>
        <v>2845073.84</v>
      </c>
      <c r="G846" s="180">
        <f>SUM(G847:G849)</f>
        <v>3351049.35</v>
      </c>
      <c r="H846" s="180">
        <f>SUM(H847:H849)</f>
        <v>3693202.87</v>
      </c>
      <c r="I846" s="117"/>
    </row>
    <row r="847" spans="1:9" ht="27">
      <c r="A847" s="20">
        <v>1138</v>
      </c>
      <c r="B847" s="24">
        <v>31001</v>
      </c>
      <c r="C847" s="44" t="s">
        <v>219</v>
      </c>
      <c r="D847" s="193">
        <v>1257812.69</v>
      </c>
      <c r="E847" s="193">
        <v>936319</v>
      </c>
      <c r="F847" s="193">
        <v>936319</v>
      </c>
      <c r="G847" s="193">
        <v>936319</v>
      </c>
      <c r="H847" s="193">
        <v>936319</v>
      </c>
      <c r="I847" s="125" t="s">
        <v>222</v>
      </c>
    </row>
    <row r="848" spans="1:9" ht="132">
      <c r="A848" s="20">
        <v>1138</v>
      </c>
      <c r="B848" s="24">
        <v>31002</v>
      </c>
      <c r="C848" s="44" t="s">
        <v>220</v>
      </c>
      <c r="D848" s="193">
        <v>1726587.3</v>
      </c>
      <c r="E848" s="193">
        <v>1757009.3</v>
      </c>
      <c r="F848" s="193">
        <v>1704154.84</v>
      </c>
      <c r="G848" s="193">
        <v>2210430.35</v>
      </c>
      <c r="H848" s="193">
        <v>2551883.87</v>
      </c>
      <c r="I848" s="111" t="s">
        <v>223</v>
      </c>
    </row>
    <row r="849" spans="1:9" ht="99">
      <c r="A849" s="20">
        <v>1138</v>
      </c>
      <c r="B849" s="24">
        <v>31003</v>
      </c>
      <c r="C849" s="44" t="s">
        <v>221</v>
      </c>
      <c r="D849" s="193">
        <v>0</v>
      </c>
      <c r="E849" s="193">
        <v>417800</v>
      </c>
      <c r="F849" s="193">
        <v>204600</v>
      </c>
      <c r="G849" s="193">
        <v>204300</v>
      </c>
      <c r="H849" s="193">
        <v>205000</v>
      </c>
      <c r="I849" s="111" t="s">
        <v>224</v>
      </c>
    </row>
    <row r="850" spans="1:9" s="1" customFormat="1">
      <c r="A850" s="14" t="s">
        <v>17</v>
      </c>
      <c r="B850" s="56" t="s">
        <v>44</v>
      </c>
      <c r="C850" s="248"/>
      <c r="D850" s="176">
        <f>D851+D855</f>
        <v>7292893.4000000004</v>
      </c>
      <c r="E850" s="176">
        <f>E851+E855</f>
        <v>7367886</v>
      </c>
      <c r="F850" s="176">
        <f>F851+F855</f>
        <v>7650426</v>
      </c>
      <c r="G850" s="176">
        <f>G851+G855</f>
        <v>7650426</v>
      </c>
      <c r="H850" s="176">
        <f>H851+H855</f>
        <v>7650426</v>
      </c>
      <c r="I850" s="112"/>
    </row>
    <row r="851" spans="1:9">
      <c r="A851" s="278" t="s">
        <v>8</v>
      </c>
      <c r="B851" s="86"/>
      <c r="C851" s="244"/>
      <c r="D851" s="177">
        <f>D852</f>
        <v>7292893.4000000004</v>
      </c>
      <c r="E851" s="177">
        <f>E852</f>
        <v>7367886</v>
      </c>
      <c r="F851" s="177">
        <f>F852</f>
        <v>7650426</v>
      </c>
      <c r="G851" s="177">
        <f>G852</f>
        <v>7650426</v>
      </c>
      <c r="H851" s="177">
        <f>H852</f>
        <v>7650426</v>
      </c>
      <c r="I851" s="113"/>
    </row>
    <row r="852" spans="1:9">
      <c r="A852" s="31">
        <v>1042</v>
      </c>
      <c r="B852" s="53"/>
      <c r="C852" s="250"/>
      <c r="D852" s="180">
        <f>SUM(D853:D854)</f>
        <v>7292893.4000000004</v>
      </c>
      <c r="E852" s="180">
        <f>SUM(E853:E854)</f>
        <v>7367886</v>
      </c>
      <c r="F852" s="180">
        <f>SUM(F853:F854)</f>
        <v>7650426</v>
      </c>
      <c r="G852" s="180">
        <f>SUM(G853:G854)</f>
        <v>7650426</v>
      </c>
      <c r="H852" s="180">
        <f>SUM(H853:H854)</f>
        <v>7650426</v>
      </c>
      <c r="I852" s="117"/>
    </row>
    <row r="853" spans="1:9" ht="409.5">
      <c r="A853" s="16">
        <v>1042</v>
      </c>
      <c r="B853" s="43">
        <v>11002</v>
      </c>
      <c r="C853" s="252" t="s">
        <v>279</v>
      </c>
      <c r="D853" s="181">
        <v>6336820.4000000004</v>
      </c>
      <c r="E853" s="181">
        <v>6396941.5999999996</v>
      </c>
      <c r="F853" s="181">
        <v>6646241.5999999996</v>
      </c>
      <c r="G853" s="181">
        <v>6646241.5999999996</v>
      </c>
      <c r="H853" s="181">
        <v>6646241.5999999996</v>
      </c>
      <c r="I853" s="25" t="s">
        <v>282</v>
      </c>
    </row>
    <row r="854" spans="1:9" ht="115.5">
      <c r="A854" s="16">
        <v>1042</v>
      </c>
      <c r="B854" s="43">
        <v>11002</v>
      </c>
      <c r="C854" s="252" t="s">
        <v>280</v>
      </c>
      <c r="D854" s="181">
        <v>956073</v>
      </c>
      <c r="E854" s="181">
        <v>970944.4</v>
      </c>
      <c r="F854" s="181">
        <v>1004184.4</v>
      </c>
      <c r="G854" s="181">
        <v>1004184.4</v>
      </c>
      <c r="H854" s="181">
        <v>1004184.4</v>
      </c>
      <c r="I854" s="25" t="s">
        <v>281</v>
      </c>
    </row>
    <row r="855" spans="1:9">
      <c r="A855" s="278" t="s">
        <v>9</v>
      </c>
      <c r="B855" s="86"/>
      <c r="C855" s="244"/>
      <c r="D855" s="177">
        <v>0</v>
      </c>
      <c r="E855" s="177">
        <v>0</v>
      </c>
      <c r="F855" s="177">
        <v>0</v>
      </c>
      <c r="G855" s="177">
        <v>0</v>
      </c>
      <c r="H855" s="177">
        <v>0</v>
      </c>
      <c r="I855" s="113"/>
    </row>
    <row r="856" spans="1:9" s="1" customFormat="1" ht="165">
      <c r="A856" s="14" t="s">
        <v>17</v>
      </c>
      <c r="B856" s="8" t="s">
        <v>45</v>
      </c>
      <c r="C856" s="241"/>
      <c r="D856" s="176">
        <v>0</v>
      </c>
      <c r="E856" s="176">
        <v>0</v>
      </c>
      <c r="F856" s="176">
        <v>0</v>
      </c>
      <c r="G856" s="176">
        <v>0</v>
      </c>
      <c r="H856" s="176">
        <v>0</v>
      </c>
      <c r="I856" s="120" t="s">
        <v>228</v>
      </c>
    </row>
    <row r="857" spans="1:9">
      <c r="A857" s="15" t="s">
        <v>8</v>
      </c>
      <c r="B857" s="9"/>
      <c r="C857" s="253"/>
      <c r="D857" s="177"/>
      <c r="E857" s="177"/>
      <c r="F857" s="177"/>
      <c r="G857" s="177"/>
      <c r="H857" s="177"/>
      <c r="I857" s="113"/>
    </row>
    <row r="858" spans="1:9">
      <c r="A858" s="15" t="s">
        <v>9</v>
      </c>
      <c r="B858" s="9"/>
      <c r="C858" s="253"/>
      <c r="D858" s="177"/>
      <c r="E858" s="177"/>
      <c r="F858" s="177"/>
      <c r="G858" s="177"/>
      <c r="H858" s="177"/>
      <c r="I858" s="113"/>
    </row>
    <row r="859" spans="1:9" s="1" customFormat="1">
      <c r="A859" s="14" t="s">
        <v>17</v>
      </c>
      <c r="B859" s="8" t="s">
        <v>46</v>
      </c>
      <c r="C859" s="241"/>
      <c r="D859" s="176">
        <v>0</v>
      </c>
      <c r="E859" s="176">
        <v>0</v>
      </c>
      <c r="F859" s="176">
        <v>0</v>
      </c>
      <c r="G859" s="176">
        <v>0</v>
      </c>
      <c r="H859" s="176">
        <v>0</v>
      </c>
      <c r="I859" s="112" t="s">
        <v>178</v>
      </c>
    </row>
    <row r="860" spans="1:9" s="1" customFormat="1">
      <c r="A860" s="14" t="s">
        <v>17</v>
      </c>
      <c r="B860" s="8" t="s">
        <v>47</v>
      </c>
      <c r="C860" s="241"/>
      <c r="D860" s="176">
        <f>D861+D864</f>
        <v>353700.43</v>
      </c>
      <c r="E860" s="176">
        <f>E861+E864</f>
        <v>359566.7</v>
      </c>
      <c r="F860" s="176">
        <f>F861+F864</f>
        <v>378893.6</v>
      </c>
      <c r="G860" s="176">
        <f>G861+G864</f>
        <v>381130.8</v>
      </c>
      <c r="H860" s="176">
        <f>H861+H864</f>
        <v>381130.8</v>
      </c>
      <c r="I860" s="112"/>
    </row>
    <row r="861" spans="1:9">
      <c r="A861" s="15" t="s">
        <v>8</v>
      </c>
      <c r="B861" s="9"/>
      <c r="C861" s="253"/>
      <c r="D861" s="177">
        <f>D862</f>
        <v>353700.43</v>
      </c>
      <c r="E861" s="177">
        <f>E862</f>
        <v>359566.7</v>
      </c>
      <c r="F861" s="177">
        <f>F862</f>
        <v>378893.6</v>
      </c>
      <c r="G861" s="177">
        <f>G862</f>
        <v>381130.8</v>
      </c>
      <c r="H861" s="177">
        <f>H862</f>
        <v>381130.8</v>
      </c>
      <c r="I861" s="113"/>
    </row>
    <row r="862" spans="1:9" ht="27">
      <c r="A862" s="32">
        <v>1054</v>
      </c>
      <c r="B862" s="168" t="s">
        <v>226</v>
      </c>
      <c r="C862" s="254"/>
      <c r="D862" s="198">
        <v>353700.43</v>
      </c>
      <c r="E862" s="198">
        <v>359566.7</v>
      </c>
      <c r="F862" s="198">
        <f>F863</f>
        <v>378893.6</v>
      </c>
      <c r="G862" s="198">
        <f>G863</f>
        <v>381130.8</v>
      </c>
      <c r="H862" s="198">
        <f>H863</f>
        <v>381130.8</v>
      </c>
      <c r="I862" s="117"/>
    </row>
    <row r="863" spans="1:9" ht="181.5">
      <c r="A863" s="10">
        <v>1054</v>
      </c>
      <c r="B863" s="2">
        <v>11001</v>
      </c>
      <c r="C863" s="255" t="s">
        <v>226</v>
      </c>
      <c r="D863" s="192">
        <v>353700.43</v>
      </c>
      <c r="E863" s="192">
        <v>359566.7</v>
      </c>
      <c r="F863" s="192">
        <v>378893.6</v>
      </c>
      <c r="G863" s="192">
        <v>381130.8</v>
      </c>
      <c r="H863" s="192">
        <v>381130.8</v>
      </c>
      <c r="I863" s="25" t="s">
        <v>227</v>
      </c>
    </row>
    <row r="864" spans="1:9">
      <c r="A864" s="278" t="s">
        <v>9</v>
      </c>
      <c r="B864" s="86"/>
      <c r="C864" s="244"/>
      <c r="D864" s="177">
        <v>0</v>
      </c>
      <c r="E864" s="177">
        <v>0</v>
      </c>
      <c r="F864" s="177">
        <v>0</v>
      </c>
      <c r="G864" s="177">
        <v>0</v>
      </c>
      <c r="H864" s="177">
        <v>0</v>
      </c>
      <c r="I864" s="113"/>
    </row>
    <row r="865" spans="1:9" s="1" customFormat="1">
      <c r="A865" s="14" t="s">
        <v>17</v>
      </c>
      <c r="B865" s="56" t="s">
        <v>48</v>
      </c>
      <c r="C865" s="248"/>
      <c r="D865" s="176">
        <f>D866+D872</f>
        <v>4759092.4400000004</v>
      </c>
      <c r="E865" s="176">
        <f>E866+E872</f>
        <v>5984646.8999999994</v>
      </c>
      <c r="F865" s="176">
        <f>F866+F872</f>
        <v>7926763.9000000004</v>
      </c>
      <c r="G865" s="176">
        <f>G866+G872</f>
        <v>8975657.4199999999</v>
      </c>
      <c r="H865" s="176">
        <f>H866+H872</f>
        <v>10383455.42</v>
      </c>
      <c r="I865" s="112"/>
    </row>
    <row r="866" spans="1:9">
      <c r="A866" s="278" t="s">
        <v>8</v>
      </c>
      <c r="B866" s="86"/>
      <c r="C866" s="244"/>
      <c r="D866" s="177">
        <f>SUM(D867:D871)</f>
        <v>4759092.4400000004</v>
      </c>
      <c r="E866" s="177">
        <f>SUM(E867:E871)</f>
        <v>5984646.8999999994</v>
      </c>
      <c r="F866" s="177">
        <f>SUM(F867:F871)</f>
        <v>7926763.9000000004</v>
      </c>
      <c r="G866" s="177">
        <f>SUM(G867:G871)</f>
        <v>8975657.4199999999</v>
      </c>
      <c r="H866" s="177">
        <f>SUM(H867:H871)</f>
        <v>10383455.42</v>
      </c>
      <c r="I866" s="113"/>
    </row>
    <row r="867" spans="1:9" ht="33">
      <c r="A867" s="20">
        <v>1306</v>
      </c>
      <c r="B867" s="24">
        <v>11001</v>
      </c>
      <c r="C867" s="256" t="s">
        <v>268</v>
      </c>
      <c r="D867" s="193">
        <v>4573941.37</v>
      </c>
      <c r="E867" s="193">
        <v>5903665.7999999998</v>
      </c>
      <c r="F867" s="193">
        <v>7654763.9000000004</v>
      </c>
      <c r="G867" s="193">
        <v>8698657.4199999999</v>
      </c>
      <c r="H867" s="193">
        <v>10106455.42</v>
      </c>
      <c r="I867" s="665" t="s">
        <v>278</v>
      </c>
    </row>
    <row r="868" spans="1:9" ht="33">
      <c r="A868" s="20">
        <v>1306</v>
      </c>
      <c r="B868" s="24">
        <v>31001</v>
      </c>
      <c r="C868" s="256" t="s">
        <v>269</v>
      </c>
      <c r="D868" s="193">
        <v>147720</v>
      </c>
      <c r="E868" s="193">
        <v>45000</v>
      </c>
      <c r="F868" s="193">
        <v>250000</v>
      </c>
      <c r="G868" s="193">
        <v>250000</v>
      </c>
      <c r="H868" s="193">
        <v>250000</v>
      </c>
      <c r="I868" s="666"/>
    </row>
    <row r="869" spans="1:9" ht="33">
      <c r="A869" s="20">
        <v>1306</v>
      </c>
      <c r="B869" s="24">
        <v>31002</v>
      </c>
      <c r="C869" s="256" t="s">
        <v>270</v>
      </c>
      <c r="D869" s="193">
        <v>18172.580000000002</v>
      </c>
      <c r="E869" s="193">
        <v>5200</v>
      </c>
      <c r="F869" s="193">
        <v>22000</v>
      </c>
      <c r="G869" s="193">
        <v>27000</v>
      </c>
      <c r="H869" s="193">
        <v>27000</v>
      </c>
      <c r="I869" s="666"/>
    </row>
    <row r="870" spans="1:9" ht="49.5">
      <c r="A870" s="20">
        <v>1306</v>
      </c>
      <c r="B870" s="24">
        <v>31003</v>
      </c>
      <c r="C870" s="256" t="s">
        <v>271</v>
      </c>
      <c r="D870" s="193">
        <v>0</v>
      </c>
      <c r="E870" s="193">
        <v>30781.1</v>
      </c>
      <c r="F870" s="193">
        <v>0</v>
      </c>
      <c r="G870" s="193">
        <v>0</v>
      </c>
      <c r="H870" s="193">
        <v>0</v>
      </c>
      <c r="I870" s="666"/>
    </row>
    <row r="871" spans="1:9" ht="49.5">
      <c r="A871" s="20">
        <v>1306</v>
      </c>
      <c r="B871" s="24">
        <v>31004</v>
      </c>
      <c r="C871" s="256" t="s">
        <v>272</v>
      </c>
      <c r="D871" s="193">
        <v>19258.490000000002</v>
      </c>
      <c r="E871" s="193">
        <v>0</v>
      </c>
      <c r="F871" s="193">
        <v>0</v>
      </c>
      <c r="G871" s="193">
        <v>0</v>
      </c>
      <c r="H871" s="193">
        <v>0</v>
      </c>
      <c r="I871" s="667"/>
    </row>
    <row r="872" spans="1:9">
      <c r="A872" s="278" t="s">
        <v>9</v>
      </c>
      <c r="B872" s="86"/>
      <c r="C872" s="244"/>
      <c r="D872" s="177">
        <v>0</v>
      </c>
      <c r="E872" s="177">
        <v>0</v>
      </c>
      <c r="F872" s="177">
        <v>0</v>
      </c>
      <c r="G872" s="177">
        <v>0</v>
      </c>
      <c r="H872" s="177">
        <v>0</v>
      </c>
      <c r="I872" s="113"/>
    </row>
    <row r="873" spans="1:9" s="1" customFormat="1">
      <c r="A873" s="14" t="s">
        <v>17</v>
      </c>
      <c r="B873" s="56" t="s">
        <v>49</v>
      </c>
      <c r="C873" s="248"/>
      <c r="D873" s="176">
        <f>D874+D878</f>
        <v>14032054.890000001</v>
      </c>
      <c r="E873" s="176">
        <f>E874+E878</f>
        <v>17398864.200000003</v>
      </c>
      <c r="F873" s="176">
        <f>F874+F878</f>
        <v>20106090</v>
      </c>
      <c r="G873" s="176">
        <f>G874+G878</f>
        <v>19790981.600000001</v>
      </c>
      <c r="H873" s="176">
        <f>H874+H878</f>
        <v>0</v>
      </c>
      <c r="I873" s="112"/>
    </row>
    <row r="874" spans="1:9">
      <c r="A874" s="278" t="s">
        <v>8</v>
      </c>
      <c r="B874" s="86"/>
      <c r="C874" s="244"/>
      <c r="D874" s="177">
        <f>D875</f>
        <v>13519264.200000001</v>
      </c>
      <c r="E874" s="177">
        <f>E875</f>
        <v>17141163.200000003</v>
      </c>
      <c r="F874" s="177">
        <f>F875</f>
        <v>19112500.699999999</v>
      </c>
      <c r="G874" s="177">
        <f>G875</f>
        <v>19232682</v>
      </c>
      <c r="H874" s="177">
        <f>H875</f>
        <v>0</v>
      </c>
      <c r="I874" s="113"/>
    </row>
    <row r="875" spans="1:9">
      <c r="A875" s="33">
        <v>1180</v>
      </c>
      <c r="B875" s="107" t="s">
        <v>190</v>
      </c>
      <c r="C875" s="257"/>
      <c r="D875" s="180">
        <f>SUM(D876:D877)</f>
        <v>13519264.200000001</v>
      </c>
      <c r="E875" s="180">
        <f>SUM(E876:E877)</f>
        <v>17141163.200000003</v>
      </c>
      <c r="F875" s="180">
        <f>SUM(F876:F877)</f>
        <v>19112500.699999999</v>
      </c>
      <c r="G875" s="180">
        <f>SUM(G876:G877)</f>
        <v>19232682</v>
      </c>
      <c r="H875" s="180"/>
      <c r="I875" s="660" t="s">
        <v>199</v>
      </c>
    </row>
    <row r="876" spans="1:9">
      <c r="A876" s="19">
        <v>1180</v>
      </c>
      <c r="B876" s="2">
        <v>11001</v>
      </c>
      <c r="C876" s="44" t="s">
        <v>197</v>
      </c>
      <c r="D876" s="172">
        <v>13418760.9</v>
      </c>
      <c r="E876" s="172">
        <v>16836796.100000001</v>
      </c>
      <c r="F876" s="172">
        <v>18772665.699999999</v>
      </c>
      <c r="G876" s="172">
        <v>18890545.699999999</v>
      </c>
      <c r="H876" s="172">
        <v>19034337.600000001</v>
      </c>
      <c r="I876" s="661"/>
    </row>
    <row r="877" spans="1:9">
      <c r="A877" s="19">
        <v>1180</v>
      </c>
      <c r="B877" s="2">
        <v>11003</v>
      </c>
      <c r="C877" s="44" t="s">
        <v>198</v>
      </c>
      <c r="D877" s="172">
        <v>100503.3</v>
      </c>
      <c r="E877" s="172">
        <v>304367.09999999998</v>
      </c>
      <c r="F877" s="172">
        <v>339835</v>
      </c>
      <c r="G877" s="172">
        <v>342136.3</v>
      </c>
      <c r="H877" s="172">
        <v>344420</v>
      </c>
      <c r="I877" s="662"/>
    </row>
    <row r="878" spans="1:9">
      <c r="A878" s="278" t="s">
        <v>9</v>
      </c>
      <c r="B878" s="86"/>
      <c r="C878" s="244"/>
      <c r="D878" s="177">
        <f>D879</f>
        <v>512790.68999999994</v>
      </c>
      <c r="E878" s="177">
        <f>E879</f>
        <v>257701</v>
      </c>
      <c r="F878" s="177">
        <f>F879</f>
        <v>993589.3</v>
      </c>
      <c r="G878" s="177">
        <f>G879</f>
        <v>558299.6</v>
      </c>
      <c r="H878" s="177"/>
      <c r="I878" s="113"/>
    </row>
    <row r="879" spans="1:9">
      <c r="A879" s="33">
        <v>1180</v>
      </c>
      <c r="B879" s="107" t="s">
        <v>190</v>
      </c>
      <c r="C879" s="257"/>
      <c r="D879" s="198">
        <f>SUM(D880:D882)</f>
        <v>512790.68999999994</v>
      </c>
      <c r="E879" s="198">
        <f>SUM(E880:E882)</f>
        <v>257701</v>
      </c>
      <c r="F879" s="198">
        <f>SUM(F880:F882)</f>
        <v>993589.3</v>
      </c>
      <c r="G879" s="198">
        <f>SUM(G880:G882)</f>
        <v>558299.6</v>
      </c>
      <c r="H879" s="198">
        <f>SUM(H880:H882)</f>
        <v>210000</v>
      </c>
      <c r="I879" s="152"/>
    </row>
    <row r="880" spans="1:9" ht="66">
      <c r="A880" s="19">
        <v>1180</v>
      </c>
      <c r="B880" s="2">
        <v>31001</v>
      </c>
      <c r="C880" s="258" t="s">
        <v>191</v>
      </c>
      <c r="D880" s="172">
        <v>186489.60000000001</v>
      </c>
      <c r="E880" s="172">
        <v>57701</v>
      </c>
      <c r="F880" s="172">
        <v>83589.3</v>
      </c>
      <c r="G880" s="172">
        <v>58299.6</v>
      </c>
      <c r="H880" s="172">
        <v>60000</v>
      </c>
      <c r="I880" s="100" t="s">
        <v>192</v>
      </c>
    </row>
    <row r="881" spans="1:9" ht="49.5">
      <c r="A881" s="19">
        <v>1180</v>
      </c>
      <c r="B881" s="2">
        <v>31003</v>
      </c>
      <c r="C881" s="258" t="s">
        <v>193</v>
      </c>
      <c r="D881" s="172">
        <v>132799.99</v>
      </c>
      <c r="E881" s="172">
        <v>200000</v>
      </c>
      <c r="F881" s="172">
        <v>150000</v>
      </c>
      <c r="G881" s="172">
        <v>150000</v>
      </c>
      <c r="H881" s="172">
        <v>150000</v>
      </c>
      <c r="I881" s="100" t="s">
        <v>194</v>
      </c>
    </row>
    <row r="882" spans="1:9" ht="50.25" thickBot="1">
      <c r="A882" s="19">
        <v>1180</v>
      </c>
      <c r="B882" s="12">
        <v>31004</v>
      </c>
      <c r="C882" s="259" t="s">
        <v>195</v>
      </c>
      <c r="D882" s="212">
        <v>193501.1</v>
      </c>
      <c r="E882" s="212"/>
      <c r="F882" s="212">
        <v>760000</v>
      </c>
      <c r="G882" s="212">
        <v>350000</v>
      </c>
      <c r="H882" s="212"/>
      <c r="I882" s="101" t="s">
        <v>196</v>
      </c>
    </row>
    <row r="883" spans="1:9" s="1" customFormat="1">
      <c r="A883" s="14" t="s">
        <v>17</v>
      </c>
      <c r="B883" s="8" t="s">
        <v>50</v>
      </c>
      <c r="C883" s="241"/>
      <c r="D883" s="176">
        <f>D884</f>
        <v>687734</v>
      </c>
      <c r="E883" s="176">
        <f t="shared" ref="E883:H883" si="62">E884</f>
        <v>1086532.2999999998</v>
      </c>
      <c r="F883" s="176">
        <f t="shared" si="62"/>
        <v>1185503.8416148999</v>
      </c>
      <c r="G883" s="176">
        <f t="shared" si="62"/>
        <v>1199660.7763272005</v>
      </c>
      <c r="H883" s="176">
        <f t="shared" si="62"/>
        <v>1213251.1228908999</v>
      </c>
      <c r="I883" s="112"/>
    </row>
    <row r="884" spans="1:9">
      <c r="A884" s="645" t="s">
        <v>8</v>
      </c>
      <c r="B884" s="646"/>
      <c r="C884" s="647"/>
      <c r="D884" s="177">
        <f>D885</f>
        <v>687734</v>
      </c>
      <c r="E884" s="177">
        <f t="shared" ref="E884:H884" si="63">E885</f>
        <v>1086532.2999999998</v>
      </c>
      <c r="F884" s="177">
        <f t="shared" si="63"/>
        <v>1185503.8416148999</v>
      </c>
      <c r="G884" s="177">
        <f t="shared" si="63"/>
        <v>1199660.7763272005</v>
      </c>
      <c r="H884" s="177">
        <f t="shared" si="63"/>
        <v>1213251.1228908999</v>
      </c>
      <c r="I884" s="113"/>
    </row>
    <row r="885" spans="1:9">
      <c r="A885" s="31">
        <v>1103</v>
      </c>
      <c r="B885" s="716" t="s">
        <v>798</v>
      </c>
      <c r="C885" s="717"/>
      <c r="D885" s="180">
        <f>SUM(D886:D886)</f>
        <v>687734</v>
      </c>
      <c r="E885" s="180">
        <f>SUM(E886:E886)</f>
        <v>1086532.2999999998</v>
      </c>
      <c r="F885" s="180">
        <f>SUM(F886:F886)</f>
        <v>1185503.8416148999</v>
      </c>
      <c r="G885" s="180">
        <f>SUM(G886:G886)</f>
        <v>1199660.7763272005</v>
      </c>
      <c r="H885" s="180">
        <f>SUM(H886:H886)</f>
        <v>1213251.1228908999</v>
      </c>
      <c r="I885" s="117"/>
    </row>
    <row r="886" spans="1:9" ht="155.25">
      <c r="A886" s="16"/>
      <c r="B886" s="2">
        <v>11001</v>
      </c>
      <c r="C886" s="260" t="s">
        <v>799</v>
      </c>
      <c r="D886" s="270">
        <v>687734</v>
      </c>
      <c r="E886" s="270">
        <v>1086532.2999999998</v>
      </c>
      <c r="F886" s="270">
        <v>1185503.8416148999</v>
      </c>
      <c r="G886" s="270">
        <v>1199660.7763272005</v>
      </c>
      <c r="H886" s="270">
        <v>1213251.1228908999</v>
      </c>
      <c r="I886" s="119"/>
    </row>
    <row r="887" spans="1:9">
      <c r="A887" s="162" t="s">
        <v>17</v>
      </c>
      <c r="B887" s="85" t="s">
        <v>51</v>
      </c>
      <c r="C887" s="248"/>
      <c r="D887" s="176">
        <f>D888+D892</f>
        <v>380940.88</v>
      </c>
      <c r="E887" s="176">
        <f>E888+E892</f>
        <v>412826.5</v>
      </c>
      <c r="F887" s="176">
        <f>F888+F892</f>
        <v>544115.5</v>
      </c>
      <c r="G887" s="176">
        <f>G888+G892</f>
        <v>544115.5</v>
      </c>
      <c r="H887" s="176">
        <f>H888+H892</f>
        <v>544115.5</v>
      </c>
      <c r="I887" s="112"/>
    </row>
    <row r="888" spans="1:9">
      <c r="A888" s="278" t="s">
        <v>8</v>
      </c>
      <c r="B888" s="86"/>
      <c r="C888" s="244"/>
      <c r="D888" s="177">
        <f>D889</f>
        <v>380940.88</v>
      </c>
      <c r="E888" s="177">
        <f>E889</f>
        <v>412826.5</v>
      </c>
      <c r="F888" s="177">
        <f>F889</f>
        <v>544115.5</v>
      </c>
      <c r="G888" s="177">
        <f>G889</f>
        <v>544115.5</v>
      </c>
      <c r="H888" s="177">
        <f>H889</f>
        <v>544115.5</v>
      </c>
      <c r="I888" s="113"/>
    </row>
    <row r="889" spans="1:9">
      <c r="A889" s="29">
        <v>1181</v>
      </c>
      <c r="B889" s="284" t="s">
        <v>169</v>
      </c>
      <c r="C889" s="249"/>
      <c r="D889" s="180">
        <f>SUM(D890:D891)</f>
        <v>380940.88</v>
      </c>
      <c r="E889" s="180">
        <f>SUM(E890:E891)</f>
        <v>412826.5</v>
      </c>
      <c r="F889" s="180">
        <f>SUM(F890:F891)</f>
        <v>544115.5</v>
      </c>
      <c r="G889" s="180">
        <f>SUM(G890:G891)</f>
        <v>544115.5</v>
      </c>
      <c r="H889" s="180">
        <f>SUM(H890:H891)</f>
        <v>544115.5</v>
      </c>
      <c r="I889" s="117"/>
    </row>
    <row r="890" spans="1:9" ht="229.5">
      <c r="A890" s="18">
        <v>1181</v>
      </c>
      <c r="B890" s="2">
        <v>11001</v>
      </c>
      <c r="C890" s="44" t="s">
        <v>165</v>
      </c>
      <c r="D890" s="172">
        <v>371821.48</v>
      </c>
      <c r="E890" s="172">
        <v>385936</v>
      </c>
      <c r="F890" s="172">
        <v>517225</v>
      </c>
      <c r="G890" s="172">
        <v>517225</v>
      </c>
      <c r="H890" s="172">
        <v>517225</v>
      </c>
      <c r="I890" s="118" t="s">
        <v>166</v>
      </c>
    </row>
    <row r="891" spans="1:9" ht="67.5">
      <c r="A891" s="18">
        <v>1181</v>
      </c>
      <c r="B891" s="2">
        <v>11002</v>
      </c>
      <c r="C891" s="44" t="s">
        <v>167</v>
      </c>
      <c r="D891" s="172">
        <v>9119.4</v>
      </c>
      <c r="E891" s="172">
        <v>26890.5</v>
      </c>
      <c r="F891" s="172">
        <v>26890.5</v>
      </c>
      <c r="G891" s="172">
        <v>26890.5</v>
      </c>
      <c r="H891" s="172">
        <v>26890.5</v>
      </c>
      <c r="I891" s="119"/>
    </row>
    <row r="892" spans="1:9">
      <c r="A892" s="278" t="s">
        <v>9</v>
      </c>
      <c r="B892" s="86"/>
      <c r="C892" s="244"/>
      <c r="D892" s="177">
        <f t="shared" ref="D892:H893" si="64">D893</f>
        <v>0</v>
      </c>
      <c r="E892" s="177">
        <f t="shared" si="64"/>
        <v>0</v>
      </c>
      <c r="F892" s="177">
        <f t="shared" si="64"/>
        <v>0</v>
      </c>
      <c r="G892" s="177">
        <f t="shared" si="64"/>
        <v>0</v>
      </c>
      <c r="H892" s="177">
        <f t="shared" si="64"/>
        <v>0</v>
      </c>
      <c r="I892" s="113"/>
    </row>
    <row r="893" spans="1:9">
      <c r="A893" s="37">
        <v>1181</v>
      </c>
      <c r="B893" s="284" t="s">
        <v>169</v>
      </c>
      <c r="C893" s="249"/>
      <c r="D893" s="180">
        <f t="shared" si="64"/>
        <v>0</v>
      </c>
      <c r="E893" s="180">
        <f t="shared" si="64"/>
        <v>0</v>
      </c>
      <c r="F893" s="180">
        <f t="shared" si="64"/>
        <v>0</v>
      </c>
      <c r="G893" s="180">
        <f t="shared" si="64"/>
        <v>0</v>
      </c>
      <c r="H893" s="180">
        <f t="shared" si="64"/>
        <v>0</v>
      </c>
      <c r="I893" s="117"/>
    </row>
    <row r="894" spans="1:9" ht="54">
      <c r="A894" s="17">
        <v>1181</v>
      </c>
      <c r="B894" s="2">
        <v>31001</v>
      </c>
      <c r="C894" s="44" t="s">
        <v>168</v>
      </c>
      <c r="D894" s="172">
        <v>0</v>
      </c>
      <c r="E894" s="172">
        <v>0</v>
      </c>
      <c r="F894" s="202"/>
      <c r="G894" s="202"/>
      <c r="H894" s="202"/>
      <c r="I894" s="119"/>
    </row>
    <row r="895" spans="1:9">
      <c r="A895" s="162" t="s">
        <v>17</v>
      </c>
      <c r="B895" s="85" t="s">
        <v>52</v>
      </c>
      <c r="C895" s="248"/>
      <c r="D895" s="176">
        <f>D896+D899</f>
        <v>919866</v>
      </c>
      <c r="E895" s="176">
        <f>E896+E899</f>
        <v>956421</v>
      </c>
      <c r="F895" s="176">
        <f>F896+F899</f>
        <v>964732.7</v>
      </c>
      <c r="G895" s="176">
        <f>G896+G899</f>
        <v>972576.2</v>
      </c>
      <c r="H895" s="176">
        <f>H896+H899</f>
        <v>990361.4</v>
      </c>
      <c r="I895" s="112"/>
    </row>
    <row r="896" spans="1:9">
      <c r="A896" s="278" t="s">
        <v>8</v>
      </c>
      <c r="B896" s="86"/>
      <c r="C896" s="244"/>
      <c r="D896" s="177">
        <f t="shared" ref="D896:H897" si="65">D897</f>
        <v>911392.4</v>
      </c>
      <c r="E896" s="177">
        <f t="shared" si="65"/>
        <v>951728</v>
      </c>
      <c r="F896" s="177">
        <f t="shared" si="65"/>
        <v>951134.7</v>
      </c>
      <c r="G896" s="177">
        <f t="shared" si="65"/>
        <v>962686.2</v>
      </c>
      <c r="H896" s="177">
        <f t="shared" si="65"/>
        <v>979571.4</v>
      </c>
      <c r="I896" s="113"/>
    </row>
    <row r="897" spans="1:9">
      <c r="A897" s="87">
        <v>1203</v>
      </c>
      <c r="B897" s="59" t="s">
        <v>309</v>
      </c>
      <c r="C897" s="251"/>
      <c r="D897" s="180">
        <f t="shared" si="65"/>
        <v>911392.4</v>
      </c>
      <c r="E897" s="180">
        <f t="shared" si="65"/>
        <v>951728</v>
      </c>
      <c r="F897" s="180">
        <f t="shared" si="65"/>
        <v>951134.7</v>
      </c>
      <c r="G897" s="180">
        <f t="shared" si="65"/>
        <v>962686.2</v>
      </c>
      <c r="H897" s="180">
        <f t="shared" si="65"/>
        <v>979571.4</v>
      </c>
      <c r="I897" s="117"/>
    </row>
    <row r="898" spans="1:9" ht="82.5">
      <c r="A898" s="51">
        <v>1203</v>
      </c>
      <c r="B898" s="50">
        <v>11001</v>
      </c>
      <c r="C898" s="233" t="s">
        <v>305</v>
      </c>
      <c r="D898" s="193">
        <v>911392.4</v>
      </c>
      <c r="E898" s="193">
        <v>951728</v>
      </c>
      <c r="F898" s="193">
        <v>951134.7</v>
      </c>
      <c r="G898" s="193">
        <v>962686.2</v>
      </c>
      <c r="H898" s="193">
        <v>979571.4</v>
      </c>
      <c r="I898" s="111" t="s">
        <v>306</v>
      </c>
    </row>
    <row r="899" spans="1:9">
      <c r="A899" s="278" t="s">
        <v>9</v>
      </c>
      <c r="B899" s="86"/>
      <c r="C899" s="244"/>
      <c r="D899" s="177">
        <f t="shared" ref="D899:H900" si="66">D900</f>
        <v>8473.6</v>
      </c>
      <c r="E899" s="177">
        <f t="shared" si="66"/>
        <v>4693</v>
      </c>
      <c r="F899" s="177">
        <f t="shared" si="66"/>
        <v>13598</v>
      </c>
      <c r="G899" s="177">
        <f t="shared" si="66"/>
        <v>9890</v>
      </c>
      <c r="H899" s="177">
        <f t="shared" si="66"/>
        <v>10790</v>
      </c>
      <c r="I899" s="113"/>
    </row>
    <row r="900" spans="1:9">
      <c r="A900" s="87">
        <v>1203</v>
      </c>
      <c r="B900" s="59" t="s">
        <v>309</v>
      </c>
      <c r="C900" s="251"/>
      <c r="D900" s="180">
        <f t="shared" si="66"/>
        <v>8473.6</v>
      </c>
      <c r="E900" s="180">
        <f t="shared" si="66"/>
        <v>4693</v>
      </c>
      <c r="F900" s="180">
        <f t="shared" si="66"/>
        <v>13598</v>
      </c>
      <c r="G900" s="180">
        <f t="shared" si="66"/>
        <v>9890</v>
      </c>
      <c r="H900" s="180">
        <f t="shared" si="66"/>
        <v>10790</v>
      </c>
      <c r="I900" s="117"/>
    </row>
    <row r="901" spans="1:9" ht="115.5">
      <c r="A901" s="51">
        <v>1203</v>
      </c>
      <c r="B901" s="50">
        <v>31001</v>
      </c>
      <c r="C901" s="233" t="s">
        <v>307</v>
      </c>
      <c r="D901" s="193">
        <v>8473.6</v>
      </c>
      <c r="E901" s="193">
        <v>4693</v>
      </c>
      <c r="F901" s="193">
        <v>13598</v>
      </c>
      <c r="G901" s="193">
        <v>9890</v>
      </c>
      <c r="H901" s="193">
        <v>10790</v>
      </c>
      <c r="I901" s="111" t="s">
        <v>308</v>
      </c>
    </row>
    <row r="902" spans="1:9">
      <c r="A902" s="162" t="s">
        <v>17</v>
      </c>
      <c r="B902" s="85" t="s">
        <v>53</v>
      </c>
      <c r="C902" s="248"/>
      <c r="D902" s="176">
        <f>D903+D904</f>
        <v>0</v>
      </c>
      <c r="E902" s="176">
        <f>E903+E904</f>
        <v>40950</v>
      </c>
      <c r="F902" s="176">
        <f>F903+F904</f>
        <v>1202273</v>
      </c>
      <c r="G902" s="176">
        <f>G903+G904</f>
        <v>0</v>
      </c>
      <c r="H902" s="176">
        <f>H903+H904</f>
        <v>0</v>
      </c>
      <c r="I902" s="112"/>
    </row>
    <row r="903" spans="1:9">
      <c r="A903" s="278" t="s">
        <v>8</v>
      </c>
      <c r="B903" s="86"/>
      <c r="C903" s="244"/>
      <c r="D903" s="177">
        <v>0</v>
      </c>
      <c r="E903" s="177">
        <v>0</v>
      </c>
      <c r="F903" s="177">
        <v>0</v>
      </c>
      <c r="G903" s="177">
        <v>0</v>
      </c>
      <c r="H903" s="177">
        <v>0</v>
      </c>
      <c r="I903" s="113"/>
    </row>
    <row r="904" spans="1:9">
      <c r="A904" s="278" t="s">
        <v>9</v>
      </c>
      <c r="B904" s="86"/>
      <c r="C904" s="244"/>
      <c r="D904" s="177">
        <f t="shared" ref="D904:H905" si="67">D905</f>
        <v>0</v>
      </c>
      <c r="E904" s="177">
        <f t="shared" si="67"/>
        <v>40950</v>
      </c>
      <c r="F904" s="177">
        <f t="shared" si="67"/>
        <v>1202273</v>
      </c>
      <c r="G904" s="177">
        <f t="shared" si="67"/>
        <v>0</v>
      </c>
      <c r="H904" s="177">
        <f t="shared" si="67"/>
        <v>0</v>
      </c>
      <c r="I904" s="113"/>
    </row>
    <row r="905" spans="1:9" ht="66">
      <c r="A905" s="32">
        <v>1231</v>
      </c>
      <c r="B905" s="84" t="s">
        <v>361</v>
      </c>
      <c r="C905" s="245"/>
      <c r="D905" s="180">
        <f t="shared" si="67"/>
        <v>0</v>
      </c>
      <c r="E905" s="180">
        <f t="shared" si="67"/>
        <v>40950</v>
      </c>
      <c r="F905" s="180">
        <f t="shared" si="67"/>
        <v>1202273</v>
      </c>
      <c r="G905" s="180">
        <f t="shared" si="67"/>
        <v>0</v>
      </c>
      <c r="H905" s="180">
        <f t="shared" si="67"/>
        <v>0</v>
      </c>
      <c r="I905" s="117"/>
    </row>
    <row r="906" spans="1:9" ht="280.5">
      <c r="A906" s="5">
        <v>1231</v>
      </c>
      <c r="B906" s="2">
        <v>31003</v>
      </c>
      <c r="C906" s="40" t="s">
        <v>362</v>
      </c>
      <c r="D906" s="172">
        <v>0</v>
      </c>
      <c r="E906" s="172">
        <v>40950</v>
      </c>
      <c r="F906" s="172">
        <f>1202273</f>
        <v>1202273</v>
      </c>
      <c r="G906" s="172"/>
      <c r="H906" s="172"/>
      <c r="I906" s="25" t="s">
        <v>363</v>
      </c>
    </row>
    <row r="907" spans="1:9">
      <c r="A907" s="162" t="s">
        <v>17</v>
      </c>
      <c r="B907" s="85" t="s">
        <v>54</v>
      </c>
      <c r="C907" s="248"/>
      <c r="D907" s="176">
        <f>D908+D909</f>
        <v>0</v>
      </c>
      <c r="E907" s="176">
        <f>E908+E909</f>
        <v>0</v>
      </c>
      <c r="F907" s="176">
        <f>F908+F909</f>
        <v>0</v>
      </c>
      <c r="G907" s="176">
        <f>G908+G909</f>
        <v>0</v>
      </c>
      <c r="H907" s="176">
        <f>H908+H909</f>
        <v>0</v>
      </c>
      <c r="I907" s="112"/>
    </row>
    <row r="908" spans="1:9">
      <c r="A908" s="278" t="s">
        <v>8</v>
      </c>
      <c r="B908" s="86"/>
      <c r="C908" s="244"/>
      <c r="D908" s="177"/>
      <c r="E908" s="177"/>
      <c r="F908" s="177"/>
      <c r="G908" s="177"/>
      <c r="H908" s="177"/>
      <c r="I908" s="113"/>
    </row>
    <row r="909" spans="1:9">
      <c r="A909" s="278" t="s">
        <v>9</v>
      </c>
      <c r="B909" s="86"/>
      <c r="C909" s="244"/>
      <c r="D909" s="177"/>
      <c r="E909" s="177"/>
      <c r="F909" s="177"/>
      <c r="G909" s="177"/>
      <c r="H909" s="177"/>
      <c r="I909" s="113"/>
    </row>
    <row r="910" spans="1:9">
      <c r="A910" s="162" t="s">
        <v>17</v>
      </c>
      <c r="B910" s="285" t="s">
        <v>55</v>
      </c>
      <c r="C910" s="261"/>
      <c r="D910" s="176">
        <f>D911+D914</f>
        <v>522461.7</v>
      </c>
      <c r="E910" s="176">
        <f>E911+E914</f>
        <v>524751.80000000005</v>
      </c>
      <c r="F910" s="176">
        <f>F911+F914</f>
        <v>540170.30000000005</v>
      </c>
      <c r="G910" s="176">
        <f>G911+G914</f>
        <v>556051.4</v>
      </c>
      <c r="H910" s="176">
        <f>H911+H914</f>
        <v>572737.5</v>
      </c>
      <c r="I910" s="112"/>
    </row>
    <row r="911" spans="1:9">
      <c r="A911" s="278" t="s">
        <v>8</v>
      </c>
      <c r="B911" s="86"/>
      <c r="C911" s="244"/>
      <c r="D911" s="177">
        <f t="shared" ref="D911:H912" si="68">D912</f>
        <v>518203.9</v>
      </c>
      <c r="E911" s="177">
        <f t="shared" si="68"/>
        <v>519351.8</v>
      </c>
      <c r="F911" s="177">
        <f t="shared" si="68"/>
        <v>534770.30000000005</v>
      </c>
      <c r="G911" s="177" t="str">
        <f t="shared" si="68"/>
        <v>550651.4</v>
      </c>
      <c r="H911" s="177">
        <f t="shared" si="68"/>
        <v>567337.5</v>
      </c>
      <c r="I911" s="113"/>
    </row>
    <row r="912" spans="1:9">
      <c r="A912" s="298">
        <v>1002</v>
      </c>
      <c r="B912" s="55" t="s">
        <v>286</v>
      </c>
      <c r="C912" s="262"/>
      <c r="D912" s="180">
        <f t="shared" si="68"/>
        <v>518203.9</v>
      </c>
      <c r="E912" s="180">
        <f t="shared" si="68"/>
        <v>519351.8</v>
      </c>
      <c r="F912" s="180">
        <f t="shared" si="68"/>
        <v>534770.30000000005</v>
      </c>
      <c r="G912" s="180" t="str">
        <f t="shared" si="68"/>
        <v>550651.4</v>
      </c>
      <c r="H912" s="180">
        <f t="shared" si="68"/>
        <v>567337.5</v>
      </c>
      <c r="I912" s="137"/>
    </row>
    <row r="913" spans="1:9" ht="54">
      <c r="A913" s="11">
        <v>1002</v>
      </c>
      <c r="B913" s="27">
        <v>11001</v>
      </c>
      <c r="C913" s="44" t="s">
        <v>67</v>
      </c>
      <c r="D913" s="172">
        <v>518203.9</v>
      </c>
      <c r="E913" s="213">
        <v>519351.8</v>
      </c>
      <c r="F913" s="172">
        <v>534770.30000000005</v>
      </c>
      <c r="G913" s="172" t="s">
        <v>284</v>
      </c>
      <c r="H913" s="172">
        <v>567337.5</v>
      </c>
      <c r="I913" s="122"/>
    </row>
    <row r="914" spans="1:9">
      <c r="A914" s="300" t="s">
        <v>9</v>
      </c>
      <c r="B914" s="54"/>
      <c r="C914" s="263"/>
      <c r="D914" s="177">
        <f t="shared" ref="D914:H915" si="69">D915</f>
        <v>4257.8</v>
      </c>
      <c r="E914" s="177">
        <f t="shared" si="69"/>
        <v>5400</v>
      </c>
      <c r="F914" s="177">
        <f t="shared" si="69"/>
        <v>5400</v>
      </c>
      <c r="G914" s="177">
        <f t="shared" si="69"/>
        <v>5400</v>
      </c>
      <c r="H914" s="177">
        <f t="shared" si="69"/>
        <v>5400</v>
      </c>
      <c r="I914" s="154"/>
    </row>
    <row r="915" spans="1:9">
      <c r="A915" s="46">
        <v>1002</v>
      </c>
      <c r="B915" s="45" t="s">
        <v>286</v>
      </c>
      <c r="C915" s="264"/>
      <c r="D915" s="180">
        <f t="shared" si="69"/>
        <v>4257.8</v>
      </c>
      <c r="E915" s="180">
        <f t="shared" si="69"/>
        <v>5400</v>
      </c>
      <c r="F915" s="180">
        <f t="shared" si="69"/>
        <v>5400</v>
      </c>
      <c r="G915" s="180">
        <f t="shared" si="69"/>
        <v>5400</v>
      </c>
      <c r="H915" s="180">
        <f t="shared" si="69"/>
        <v>5400</v>
      </c>
      <c r="I915" s="137"/>
    </row>
    <row r="916" spans="1:9" ht="54">
      <c r="A916" s="11">
        <v>1002</v>
      </c>
      <c r="B916" s="27">
        <v>31001</v>
      </c>
      <c r="C916" s="44" t="s">
        <v>285</v>
      </c>
      <c r="D916" s="172">
        <v>4257.8</v>
      </c>
      <c r="E916" s="172">
        <v>5400</v>
      </c>
      <c r="F916" s="172">
        <v>5400</v>
      </c>
      <c r="G916" s="172">
        <v>5400</v>
      </c>
      <c r="H916" s="172">
        <v>5400</v>
      </c>
      <c r="I916" s="122"/>
    </row>
    <row r="917" spans="1:9">
      <c r="A917" s="162" t="s">
        <v>17</v>
      </c>
      <c r="B917" s="285" t="s">
        <v>56</v>
      </c>
      <c r="C917" s="261"/>
      <c r="D917" s="176">
        <f>D918+D921</f>
        <v>480697.58</v>
      </c>
      <c r="E917" s="176">
        <f>E918+E921</f>
        <v>533390.30000000005</v>
      </c>
      <c r="F917" s="176">
        <f>F918+F921</f>
        <v>538043.69999999995</v>
      </c>
      <c r="G917" s="176">
        <f>G918+G921</f>
        <v>542743.69999999995</v>
      </c>
      <c r="H917" s="176">
        <f>H918+H921</f>
        <v>542743.69999999995</v>
      </c>
      <c r="I917" s="112"/>
    </row>
    <row r="918" spans="1:9">
      <c r="A918" s="278" t="s">
        <v>8</v>
      </c>
      <c r="B918" s="86"/>
      <c r="C918" s="244"/>
      <c r="D918" s="177">
        <f t="shared" ref="D918:H919" si="70">D919</f>
        <v>480697.58</v>
      </c>
      <c r="E918" s="177">
        <f t="shared" si="70"/>
        <v>533390.30000000005</v>
      </c>
      <c r="F918" s="177">
        <f t="shared" si="70"/>
        <v>538043.69999999995</v>
      </c>
      <c r="G918" s="177">
        <f t="shared" si="70"/>
        <v>542743.69999999995</v>
      </c>
      <c r="H918" s="177">
        <f t="shared" si="70"/>
        <v>542743.69999999995</v>
      </c>
      <c r="I918" s="113"/>
    </row>
    <row r="919" spans="1:9" ht="49.5">
      <c r="A919" s="35">
        <v>1009</v>
      </c>
      <c r="B919" s="286" t="s">
        <v>172</v>
      </c>
      <c r="C919" s="247"/>
      <c r="D919" s="204">
        <f t="shared" si="70"/>
        <v>480697.58</v>
      </c>
      <c r="E919" s="204">
        <f t="shared" si="70"/>
        <v>533390.30000000005</v>
      </c>
      <c r="F919" s="204">
        <f t="shared" si="70"/>
        <v>538043.69999999995</v>
      </c>
      <c r="G919" s="204">
        <f t="shared" si="70"/>
        <v>542743.69999999995</v>
      </c>
      <c r="H919" s="204">
        <f t="shared" si="70"/>
        <v>542743.69999999995</v>
      </c>
      <c r="I919" s="117"/>
    </row>
    <row r="920" spans="1:9" ht="54">
      <c r="A920" s="7">
        <v>1009</v>
      </c>
      <c r="B920" s="36">
        <v>11001</v>
      </c>
      <c r="C920" s="246" t="s">
        <v>171</v>
      </c>
      <c r="D920" s="201">
        <v>480697.58</v>
      </c>
      <c r="E920" s="201">
        <v>533390.30000000005</v>
      </c>
      <c r="F920" s="201">
        <v>538043.69999999995</v>
      </c>
      <c r="G920" s="201">
        <v>542743.69999999995</v>
      </c>
      <c r="H920" s="201">
        <v>542743.69999999995</v>
      </c>
      <c r="I920" s="118"/>
    </row>
    <row r="921" spans="1:9">
      <c r="A921" s="15" t="s">
        <v>9</v>
      </c>
      <c r="B921" s="287"/>
      <c r="C921" s="253"/>
      <c r="D921" s="177">
        <v>0</v>
      </c>
      <c r="E921" s="177">
        <v>0</v>
      </c>
      <c r="F921" s="177">
        <v>0</v>
      </c>
      <c r="G921" s="177">
        <v>0</v>
      </c>
      <c r="H921" s="177">
        <v>0</v>
      </c>
      <c r="I921" s="113" t="s">
        <v>178</v>
      </c>
    </row>
    <row r="922" spans="1:9">
      <c r="A922" s="162" t="s">
        <v>17</v>
      </c>
      <c r="B922" s="85" t="s">
        <v>57</v>
      </c>
      <c r="C922" s="248"/>
      <c r="D922" s="176">
        <f>D923+D926</f>
        <v>557701.19999999995</v>
      </c>
      <c r="E922" s="176">
        <f>E923+E926</f>
        <v>555043.19999999995</v>
      </c>
      <c r="F922" s="176">
        <f>F923+F926</f>
        <v>562043.19999999995</v>
      </c>
      <c r="G922" s="176">
        <f>G923+G926</f>
        <v>562043.19999999995</v>
      </c>
      <c r="H922" s="176">
        <f>H923+H926</f>
        <v>562043.19999999995</v>
      </c>
      <c r="I922" s="112"/>
    </row>
    <row r="923" spans="1:9">
      <c r="A923" s="278" t="s">
        <v>8</v>
      </c>
      <c r="B923" s="86"/>
      <c r="C923" s="244"/>
      <c r="D923" s="177">
        <f t="shared" ref="D923:H924" si="71">D924</f>
        <v>557701.19999999995</v>
      </c>
      <c r="E923" s="177">
        <f t="shared" si="71"/>
        <v>555043.19999999995</v>
      </c>
      <c r="F923" s="177">
        <f t="shared" si="71"/>
        <v>555043.19999999995</v>
      </c>
      <c r="G923" s="177">
        <f t="shared" si="71"/>
        <v>555043.19999999995</v>
      </c>
      <c r="H923" s="177">
        <f t="shared" si="71"/>
        <v>555043.19999999995</v>
      </c>
      <c r="I923" s="113"/>
    </row>
    <row r="924" spans="1:9" ht="49.5">
      <c r="A924" s="35">
        <v>1010</v>
      </c>
      <c r="B924" s="286" t="s">
        <v>188</v>
      </c>
      <c r="C924" s="247"/>
      <c r="D924" s="204">
        <f t="shared" si="71"/>
        <v>557701.19999999995</v>
      </c>
      <c r="E924" s="204">
        <f t="shared" si="71"/>
        <v>555043.19999999995</v>
      </c>
      <c r="F924" s="204">
        <f t="shared" si="71"/>
        <v>555043.19999999995</v>
      </c>
      <c r="G924" s="204">
        <f t="shared" si="71"/>
        <v>555043.19999999995</v>
      </c>
      <c r="H924" s="204">
        <f t="shared" si="71"/>
        <v>555043.19999999995</v>
      </c>
      <c r="I924" s="117"/>
    </row>
    <row r="925" spans="1:9" ht="81">
      <c r="A925" s="7">
        <v>1010</v>
      </c>
      <c r="B925" s="36">
        <v>11001</v>
      </c>
      <c r="C925" s="246" t="s">
        <v>184</v>
      </c>
      <c r="D925" s="201">
        <v>557701.19999999995</v>
      </c>
      <c r="E925" s="201">
        <v>555043.19999999995</v>
      </c>
      <c r="F925" s="201">
        <v>555043.19999999995</v>
      </c>
      <c r="G925" s="201">
        <v>555043.19999999995</v>
      </c>
      <c r="H925" s="201">
        <v>555043.19999999995</v>
      </c>
      <c r="I925" s="118" t="s">
        <v>185</v>
      </c>
    </row>
    <row r="926" spans="1:9">
      <c r="A926" s="15" t="s">
        <v>9</v>
      </c>
      <c r="B926" s="9"/>
      <c r="C926" s="253"/>
      <c r="D926" s="177">
        <f t="shared" ref="D926:H927" si="72">D927</f>
        <v>0</v>
      </c>
      <c r="E926" s="177">
        <f t="shared" si="72"/>
        <v>0</v>
      </c>
      <c r="F926" s="177">
        <f t="shared" si="72"/>
        <v>7000</v>
      </c>
      <c r="G926" s="177">
        <f t="shared" si="72"/>
        <v>7000</v>
      </c>
      <c r="H926" s="177">
        <f t="shared" si="72"/>
        <v>7000</v>
      </c>
      <c r="I926" s="113"/>
    </row>
    <row r="927" spans="1:9" ht="49.5">
      <c r="A927" s="35">
        <v>1010</v>
      </c>
      <c r="B927" s="286" t="s">
        <v>188</v>
      </c>
      <c r="C927" s="247"/>
      <c r="D927" s="204">
        <f t="shared" si="72"/>
        <v>0</v>
      </c>
      <c r="E927" s="204">
        <f t="shared" si="72"/>
        <v>0</v>
      </c>
      <c r="F927" s="204">
        <f t="shared" si="72"/>
        <v>7000</v>
      </c>
      <c r="G927" s="204">
        <f t="shared" si="72"/>
        <v>7000</v>
      </c>
      <c r="H927" s="204">
        <f t="shared" si="72"/>
        <v>7000</v>
      </c>
      <c r="I927" s="117"/>
    </row>
    <row r="928" spans="1:9" ht="94.5">
      <c r="A928" s="7">
        <v>1010</v>
      </c>
      <c r="B928" s="36">
        <v>31001</v>
      </c>
      <c r="C928" s="246" t="s">
        <v>186</v>
      </c>
      <c r="D928" s="201">
        <v>0</v>
      </c>
      <c r="E928" s="201">
        <v>0</v>
      </c>
      <c r="F928" s="201">
        <v>7000</v>
      </c>
      <c r="G928" s="201">
        <v>7000</v>
      </c>
      <c r="H928" s="201">
        <v>7000</v>
      </c>
      <c r="I928" s="118" t="s">
        <v>187</v>
      </c>
    </row>
    <row r="929" spans="1:9">
      <c r="A929" s="162" t="s">
        <v>17</v>
      </c>
      <c r="B929" s="85" t="s">
        <v>58</v>
      </c>
      <c r="C929" s="248"/>
      <c r="D929" s="176">
        <f>D930+D933</f>
        <v>714369</v>
      </c>
      <c r="E929" s="176">
        <f>E930+E933</f>
        <v>756946.29999999981</v>
      </c>
      <c r="F929" s="176">
        <f>F930+F933</f>
        <v>581042.99999999988</v>
      </c>
      <c r="G929" s="176">
        <f>G930+G933</f>
        <v>585142.99999999988</v>
      </c>
      <c r="H929" s="176">
        <f>H930+H933</f>
        <v>616242.99999999988</v>
      </c>
      <c r="I929" s="112"/>
    </row>
    <row r="930" spans="1:9">
      <c r="A930" s="278" t="s">
        <v>8</v>
      </c>
      <c r="B930" s="86"/>
      <c r="C930" s="244"/>
      <c r="D930" s="177">
        <f t="shared" ref="D930:H931" si="73">D931</f>
        <v>714369</v>
      </c>
      <c r="E930" s="177">
        <f t="shared" si="73"/>
        <v>756946.29999999981</v>
      </c>
      <c r="F930" s="177">
        <f t="shared" si="73"/>
        <v>581042.99999999988</v>
      </c>
      <c r="G930" s="177">
        <f t="shared" si="73"/>
        <v>585142.99999999988</v>
      </c>
      <c r="H930" s="177">
        <f t="shared" si="73"/>
        <v>616242.99999999988</v>
      </c>
      <c r="I930" s="113"/>
    </row>
    <row r="931" spans="1:9">
      <c r="A931" s="31">
        <v>1025</v>
      </c>
      <c r="B931" s="88" t="s">
        <v>180</v>
      </c>
      <c r="C931" s="251"/>
      <c r="D931" s="180">
        <f t="shared" si="73"/>
        <v>714369</v>
      </c>
      <c r="E931" s="180">
        <f t="shared" si="73"/>
        <v>756946.29999999981</v>
      </c>
      <c r="F931" s="180">
        <f t="shared" si="73"/>
        <v>581042.99999999988</v>
      </c>
      <c r="G931" s="180">
        <f t="shared" si="73"/>
        <v>585142.99999999988</v>
      </c>
      <c r="H931" s="180">
        <f t="shared" si="73"/>
        <v>616242.99999999988</v>
      </c>
      <c r="I931" s="117"/>
    </row>
    <row r="932" spans="1:9" ht="40.5">
      <c r="A932" s="20"/>
      <c r="B932" s="24">
        <v>11001</v>
      </c>
      <c r="C932" s="246" t="s">
        <v>181</v>
      </c>
      <c r="D932" s="193">
        <v>714369</v>
      </c>
      <c r="E932" s="193">
        <v>756946.29999999981</v>
      </c>
      <c r="F932" s="193">
        <v>581042.99999999988</v>
      </c>
      <c r="G932" s="193">
        <v>585142.99999999988</v>
      </c>
      <c r="H932" s="193">
        <v>616242.99999999988</v>
      </c>
      <c r="I932" s="125"/>
    </row>
    <row r="933" spans="1:9">
      <c r="A933" s="278" t="s">
        <v>9</v>
      </c>
      <c r="B933" s="86"/>
      <c r="C933" s="244"/>
      <c r="D933" s="177">
        <v>0</v>
      </c>
      <c r="E933" s="177">
        <v>0</v>
      </c>
      <c r="F933" s="177">
        <v>0</v>
      </c>
      <c r="G933" s="177">
        <v>0</v>
      </c>
      <c r="H933" s="177">
        <v>0</v>
      </c>
      <c r="I933" s="113" t="s">
        <v>178</v>
      </c>
    </row>
    <row r="934" spans="1:9">
      <c r="A934" s="162" t="s">
        <v>17</v>
      </c>
      <c r="B934" s="85" t="s">
        <v>59</v>
      </c>
      <c r="C934" s="248"/>
      <c r="D934" s="176">
        <f>D935+D938</f>
        <v>645011.00000000012</v>
      </c>
      <c r="E934" s="176">
        <f>E935+E938</f>
        <v>643226.4</v>
      </c>
      <c r="F934" s="176">
        <f>F935+F938</f>
        <v>643000</v>
      </c>
      <c r="G934" s="176">
        <f>G935+G938</f>
        <v>643000</v>
      </c>
      <c r="H934" s="176">
        <f>H935+H938</f>
        <v>643000</v>
      </c>
      <c r="I934" s="112"/>
    </row>
    <row r="935" spans="1:9">
      <c r="A935" s="278" t="s">
        <v>8</v>
      </c>
      <c r="B935" s="86"/>
      <c r="C935" s="244"/>
      <c r="D935" s="177">
        <f t="shared" ref="D935:H936" si="74">D936</f>
        <v>642111.50000000012</v>
      </c>
      <c r="E935" s="177">
        <f t="shared" si="74"/>
        <v>640226.4</v>
      </c>
      <c r="F935" s="177">
        <f t="shared" si="74"/>
        <v>640000</v>
      </c>
      <c r="G935" s="177">
        <f t="shared" si="74"/>
        <v>640000</v>
      </c>
      <c r="H935" s="177">
        <f t="shared" si="74"/>
        <v>640000</v>
      </c>
      <c r="I935" s="113"/>
    </row>
    <row r="936" spans="1:9" ht="33">
      <c r="A936" s="35">
        <v>1030</v>
      </c>
      <c r="B936" s="286" t="s">
        <v>73</v>
      </c>
      <c r="C936" s="247"/>
      <c r="D936" s="204">
        <f t="shared" si="74"/>
        <v>642111.50000000012</v>
      </c>
      <c r="E936" s="204">
        <f t="shared" si="74"/>
        <v>640226.4</v>
      </c>
      <c r="F936" s="204">
        <f t="shared" si="74"/>
        <v>640000</v>
      </c>
      <c r="G936" s="204">
        <f t="shared" si="74"/>
        <v>640000</v>
      </c>
      <c r="H936" s="204">
        <f t="shared" si="74"/>
        <v>640000</v>
      </c>
      <c r="I936" s="117"/>
    </row>
    <row r="937" spans="1:9" ht="67.5">
      <c r="A937" s="7">
        <v>1030</v>
      </c>
      <c r="B937" s="36" t="s">
        <v>70</v>
      </c>
      <c r="C937" s="246" t="s">
        <v>71</v>
      </c>
      <c r="D937" s="201">
        <v>642111.50000000012</v>
      </c>
      <c r="E937" s="201">
        <v>640226.4</v>
      </c>
      <c r="F937" s="201">
        <v>640000</v>
      </c>
      <c r="G937" s="201">
        <v>640000</v>
      </c>
      <c r="H937" s="201">
        <v>640000</v>
      </c>
      <c r="I937" s="118" t="s">
        <v>72</v>
      </c>
    </row>
    <row r="938" spans="1:9">
      <c r="A938" s="278" t="s">
        <v>9</v>
      </c>
      <c r="B938" s="86"/>
      <c r="C938" s="244"/>
      <c r="D938" s="177">
        <f t="shared" ref="D938:H939" si="75">D939</f>
        <v>2899.5</v>
      </c>
      <c r="E938" s="177">
        <f t="shared" si="75"/>
        <v>3000</v>
      </c>
      <c r="F938" s="177">
        <f t="shared" si="75"/>
        <v>3000</v>
      </c>
      <c r="G938" s="177">
        <f t="shared" si="75"/>
        <v>3000</v>
      </c>
      <c r="H938" s="177">
        <f t="shared" si="75"/>
        <v>3000</v>
      </c>
      <c r="I938" s="113"/>
    </row>
    <row r="939" spans="1:9" ht="33">
      <c r="A939" s="35">
        <v>1030</v>
      </c>
      <c r="B939" s="286" t="s">
        <v>73</v>
      </c>
      <c r="C939" s="247"/>
      <c r="D939" s="204">
        <f t="shared" si="75"/>
        <v>2899.5</v>
      </c>
      <c r="E939" s="204">
        <f t="shared" si="75"/>
        <v>3000</v>
      </c>
      <c r="F939" s="204">
        <f t="shared" si="75"/>
        <v>3000</v>
      </c>
      <c r="G939" s="204">
        <f t="shared" si="75"/>
        <v>3000</v>
      </c>
      <c r="H939" s="204">
        <f t="shared" si="75"/>
        <v>3000</v>
      </c>
      <c r="I939" s="155"/>
    </row>
    <row r="940" spans="1:9" ht="27">
      <c r="A940" s="7">
        <v>1030</v>
      </c>
      <c r="B940" s="36" t="s">
        <v>74</v>
      </c>
      <c r="C940" s="246" t="s">
        <v>75</v>
      </c>
      <c r="D940" s="201">
        <v>2899.5</v>
      </c>
      <c r="E940" s="201">
        <v>3000</v>
      </c>
      <c r="F940" s="201">
        <v>3000</v>
      </c>
      <c r="G940" s="201">
        <v>3000</v>
      </c>
      <c r="H940" s="201">
        <v>3000</v>
      </c>
      <c r="I940" s="118"/>
    </row>
    <row r="941" spans="1:9">
      <c r="A941" s="162" t="s">
        <v>17</v>
      </c>
      <c r="B941" s="9" t="s">
        <v>60</v>
      </c>
      <c r="C941" s="241"/>
      <c r="D941" s="176">
        <f>D942+D945</f>
        <v>599345.29999999993</v>
      </c>
      <c r="E941" s="176">
        <f>E942+E945</f>
        <v>602609.69999999995</v>
      </c>
      <c r="F941" s="176">
        <f>F942+F945</f>
        <v>604229.39999999991</v>
      </c>
      <c r="G941" s="176">
        <f>G942+G945</f>
        <v>607080.69999999995</v>
      </c>
      <c r="H941" s="176">
        <f>H942+H945</f>
        <v>609773.39999999991</v>
      </c>
      <c r="I941" s="112"/>
    </row>
    <row r="942" spans="1:9">
      <c r="A942" s="278" t="s">
        <v>8</v>
      </c>
      <c r="B942" s="86"/>
      <c r="C942" s="244"/>
      <c r="D942" s="177">
        <f t="shared" ref="D942:H943" si="76">D943</f>
        <v>595559.1</v>
      </c>
      <c r="E942" s="177">
        <f t="shared" si="76"/>
        <v>597509.69999999995</v>
      </c>
      <c r="F942" s="177">
        <f t="shared" si="76"/>
        <v>600229.39999999991</v>
      </c>
      <c r="G942" s="177">
        <f t="shared" si="76"/>
        <v>603080.69999999995</v>
      </c>
      <c r="H942" s="177">
        <f t="shared" si="76"/>
        <v>605773.39999999991</v>
      </c>
      <c r="I942" s="113"/>
    </row>
    <row r="943" spans="1:9">
      <c r="A943" s="15">
        <v>1037</v>
      </c>
      <c r="B943" s="85" t="s">
        <v>174</v>
      </c>
      <c r="C943" s="244"/>
      <c r="D943" s="177">
        <f t="shared" si="76"/>
        <v>595559.1</v>
      </c>
      <c r="E943" s="177">
        <f t="shared" si="76"/>
        <v>597509.69999999995</v>
      </c>
      <c r="F943" s="177">
        <f t="shared" si="76"/>
        <v>600229.39999999991</v>
      </c>
      <c r="G943" s="177">
        <f t="shared" si="76"/>
        <v>603080.69999999995</v>
      </c>
      <c r="H943" s="177">
        <f t="shared" si="76"/>
        <v>605773.39999999991</v>
      </c>
      <c r="I943" s="113"/>
    </row>
    <row r="944" spans="1:9">
      <c r="A944" s="35">
        <v>1037</v>
      </c>
      <c r="B944" s="288">
        <v>11001</v>
      </c>
      <c r="C944" s="265" t="s">
        <v>175</v>
      </c>
      <c r="D944" s="180">
        <v>595559.1</v>
      </c>
      <c r="E944" s="180">
        <v>597509.69999999995</v>
      </c>
      <c r="F944" s="180">
        <v>600229.39999999991</v>
      </c>
      <c r="G944" s="180">
        <v>603080.69999999995</v>
      </c>
      <c r="H944" s="180">
        <v>605773.39999999991</v>
      </c>
      <c r="I944" s="117"/>
    </row>
    <row r="945" spans="1:9">
      <c r="A945" s="278" t="s">
        <v>9</v>
      </c>
      <c r="B945" s="86"/>
      <c r="C945" s="244"/>
      <c r="D945" s="177">
        <f t="shared" ref="D945:H946" si="77">D946</f>
        <v>3786.2</v>
      </c>
      <c r="E945" s="177">
        <f t="shared" si="77"/>
        <v>5100</v>
      </c>
      <c r="F945" s="177">
        <f t="shared" si="77"/>
        <v>4000</v>
      </c>
      <c r="G945" s="177">
        <f t="shared" si="77"/>
        <v>4000</v>
      </c>
      <c r="H945" s="177">
        <f t="shared" si="77"/>
        <v>4000</v>
      </c>
      <c r="I945" s="113"/>
    </row>
    <row r="946" spans="1:9">
      <c r="A946" s="35">
        <v>1037</v>
      </c>
      <c r="B946" s="107" t="s">
        <v>174</v>
      </c>
      <c r="C946" s="257"/>
      <c r="D946" s="180">
        <f t="shared" si="77"/>
        <v>3786.2</v>
      </c>
      <c r="E946" s="180">
        <f t="shared" si="77"/>
        <v>5100</v>
      </c>
      <c r="F946" s="180">
        <f t="shared" si="77"/>
        <v>4000</v>
      </c>
      <c r="G946" s="180">
        <f t="shared" si="77"/>
        <v>4000</v>
      </c>
      <c r="H946" s="180">
        <f t="shared" si="77"/>
        <v>4000</v>
      </c>
      <c r="I946" s="117"/>
    </row>
    <row r="947" spans="1:9">
      <c r="A947" s="10">
        <v>1037</v>
      </c>
      <c r="B947" s="2">
        <v>31001</v>
      </c>
      <c r="C947" s="266" t="s">
        <v>97</v>
      </c>
      <c r="D947" s="172">
        <v>3786.2</v>
      </c>
      <c r="E947" s="172">
        <v>5100</v>
      </c>
      <c r="F947" s="172">
        <v>4000</v>
      </c>
      <c r="G947" s="172">
        <v>4000</v>
      </c>
      <c r="H947" s="172">
        <v>4000</v>
      </c>
      <c r="I947" s="119"/>
    </row>
    <row r="948" spans="1:9">
      <c r="A948" s="162" t="s">
        <v>17</v>
      </c>
      <c r="B948" s="85" t="s">
        <v>61</v>
      </c>
      <c r="C948" s="248"/>
      <c r="D948" s="214">
        <f>D949+D952</f>
        <v>697201.9</v>
      </c>
      <c r="E948" s="214">
        <f>E949+E952</f>
        <v>690010.3</v>
      </c>
      <c r="F948" s="214">
        <f>F949+F952</f>
        <v>588824.45218651125</v>
      </c>
      <c r="G948" s="214">
        <f>G949+G952</f>
        <v>593166.26273350359</v>
      </c>
      <c r="H948" s="214">
        <f>H949+H952</f>
        <v>596946.49696740857</v>
      </c>
      <c r="I948" s="102"/>
    </row>
    <row r="949" spans="1:9">
      <c r="A949" s="278" t="s">
        <v>8</v>
      </c>
      <c r="B949" s="86"/>
      <c r="C949" s="244"/>
      <c r="D949" s="215">
        <f t="shared" ref="D949:H950" si="78">D950</f>
        <v>692005.8</v>
      </c>
      <c r="E949" s="215">
        <f t="shared" si="78"/>
        <v>683760.3</v>
      </c>
      <c r="F949" s="215">
        <f t="shared" si="78"/>
        <v>588824.45218651125</v>
      </c>
      <c r="G949" s="215">
        <f t="shared" si="78"/>
        <v>593166.26273350359</v>
      </c>
      <c r="H949" s="215">
        <f t="shared" si="78"/>
        <v>596946.49696740857</v>
      </c>
      <c r="I949" s="103"/>
    </row>
    <row r="950" spans="1:9" ht="49.5">
      <c r="A950" s="30">
        <v>1039</v>
      </c>
      <c r="B950" s="286" t="s">
        <v>229</v>
      </c>
      <c r="C950" s="247"/>
      <c r="D950" s="204">
        <f t="shared" si="78"/>
        <v>692005.8</v>
      </c>
      <c r="E950" s="204">
        <f t="shared" si="78"/>
        <v>683760.3</v>
      </c>
      <c r="F950" s="204">
        <f t="shared" si="78"/>
        <v>588824.45218651125</v>
      </c>
      <c r="G950" s="204">
        <f t="shared" si="78"/>
        <v>593166.26273350359</v>
      </c>
      <c r="H950" s="204">
        <f t="shared" si="78"/>
        <v>596946.49696740857</v>
      </c>
      <c r="I950" s="155"/>
    </row>
    <row r="951" spans="1:9">
      <c r="A951" s="5">
        <v>1039</v>
      </c>
      <c r="B951" s="2">
        <v>11001</v>
      </c>
      <c r="C951" s="267" t="s">
        <v>67</v>
      </c>
      <c r="D951" s="172">
        <v>692005.8</v>
      </c>
      <c r="E951" s="172">
        <v>683760.3</v>
      </c>
      <c r="F951" s="172">
        <v>588824.45218651125</v>
      </c>
      <c r="G951" s="172">
        <v>593166.26273350359</v>
      </c>
      <c r="H951" s="172">
        <v>596946.49696740857</v>
      </c>
      <c r="I951" s="156"/>
    </row>
    <row r="952" spans="1:9">
      <c r="A952" s="278" t="s">
        <v>9</v>
      </c>
      <c r="B952" s="86"/>
      <c r="C952" s="244"/>
      <c r="D952" s="216">
        <f>D953</f>
        <v>5196.1000000000004</v>
      </c>
      <c r="E952" s="216">
        <f>E953</f>
        <v>6250</v>
      </c>
      <c r="F952" s="216">
        <f>F953</f>
        <v>0</v>
      </c>
      <c r="G952" s="216">
        <f>G953</f>
        <v>0</v>
      </c>
      <c r="H952" s="216">
        <f>H953</f>
        <v>0</v>
      </c>
      <c r="I952" s="104"/>
    </row>
    <row r="953" spans="1:9" ht="49.5">
      <c r="A953" s="30">
        <v>1039</v>
      </c>
      <c r="B953" s="286" t="s">
        <v>229</v>
      </c>
      <c r="C953" s="247"/>
      <c r="D953" s="204">
        <f>D954</f>
        <v>5196.1000000000004</v>
      </c>
      <c r="E953" s="204">
        <f>E954</f>
        <v>6250</v>
      </c>
      <c r="F953" s="204">
        <v>0</v>
      </c>
      <c r="G953" s="204">
        <v>0</v>
      </c>
      <c r="H953" s="204">
        <v>0</v>
      </c>
      <c r="I953" s="155"/>
    </row>
    <row r="954" spans="1:9">
      <c r="A954" s="5">
        <v>1039</v>
      </c>
      <c r="B954" s="2">
        <v>31001</v>
      </c>
      <c r="C954" s="267" t="s">
        <v>230</v>
      </c>
      <c r="D954" s="181">
        <v>5196.1000000000004</v>
      </c>
      <c r="E954" s="172">
        <v>6250</v>
      </c>
      <c r="F954" s="172">
        <v>0</v>
      </c>
      <c r="G954" s="172">
        <v>0</v>
      </c>
      <c r="H954" s="172">
        <v>0</v>
      </c>
      <c r="I954" s="156"/>
    </row>
    <row r="955" spans="1:9">
      <c r="A955" s="162" t="s">
        <v>17</v>
      </c>
      <c r="B955" s="85" t="s">
        <v>62</v>
      </c>
      <c r="C955" s="248"/>
      <c r="D955" s="176">
        <f>D956+D959</f>
        <v>578787.19999999995</v>
      </c>
      <c r="E955" s="176">
        <f>E956+E959</f>
        <v>603049.1</v>
      </c>
      <c r="F955" s="176">
        <f>F956+F959</f>
        <v>632756.30000000005</v>
      </c>
      <c r="G955" s="176">
        <f>G956+G959</f>
        <v>638971</v>
      </c>
      <c r="H955" s="176">
        <f>H956+H959</f>
        <v>642182.5</v>
      </c>
      <c r="I955" s="112"/>
    </row>
    <row r="956" spans="1:9">
      <c r="A956" s="278" t="s">
        <v>8</v>
      </c>
      <c r="B956" s="86"/>
      <c r="C956" s="244"/>
      <c r="D956" s="177">
        <f t="shared" ref="D956:H957" si="79">D957</f>
        <v>578787.19999999995</v>
      </c>
      <c r="E956" s="177">
        <f t="shared" si="79"/>
        <v>600049.1</v>
      </c>
      <c r="F956" s="177">
        <f t="shared" si="79"/>
        <v>629756.30000000005</v>
      </c>
      <c r="G956" s="177">
        <f t="shared" si="79"/>
        <v>635971</v>
      </c>
      <c r="H956" s="177">
        <f t="shared" si="79"/>
        <v>639182.5</v>
      </c>
      <c r="I956" s="113"/>
    </row>
    <row r="957" spans="1:9">
      <c r="A957" s="31">
        <v>1047</v>
      </c>
      <c r="B957" s="53" t="s">
        <v>276</v>
      </c>
      <c r="C957" s="250"/>
      <c r="D957" s="180">
        <f t="shared" si="79"/>
        <v>578787.19999999995</v>
      </c>
      <c r="E957" s="180">
        <f t="shared" si="79"/>
        <v>600049.1</v>
      </c>
      <c r="F957" s="180">
        <f t="shared" si="79"/>
        <v>629756.30000000005</v>
      </c>
      <c r="G957" s="180">
        <f t="shared" si="79"/>
        <v>635971</v>
      </c>
      <c r="H957" s="180">
        <f t="shared" si="79"/>
        <v>639182.5</v>
      </c>
      <c r="I957" s="117"/>
    </row>
    <row r="958" spans="1:9" ht="40.5">
      <c r="A958" s="20">
        <v>1047</v>
      </c>
      <c r="B958" s="24">
        <v>11001</v>
      </c>
      <c r="C958" s="268" t="s">
        <v>274</v>
      </c>
      <c r="D958" s="172">
        <v>578787.19999999995</v>
      </c>
      <c r="E958" s="172">
        <v>600049.1</v>
      </c>
      <c r="F958" s="172">
        <v>629756.30000000005</v>
      </c>
      <c r="G958" s="172">
        <v>635971</v>
      </c>
      <c r="H958" s="172">
        <v>639182.5</v>
      </c>
      <c r="I958" s="125"/>
    </row>
    <row r="959" spans="1:9">
      <c r="A959" s="278" t="s">
        <v>9</v>
      </c>
      <c r="B959" s="86"/>
      <c r="C959" s="244"/>
      <c r="D959" s="177">
        <f t="shared" ref="D959:H960" si="80">D960</f>
        <v>0</v>
      </c>
      <c r="E959" s="177">
        <f t="shared" si="80"/>
        <v>3000</v>
      </c>
      <c r="F959" s="177">
        <f t="shared" si="80"/>
        <v>3000</v>
      </c>
      <c r="G959" s="177">
        <f t="shared" si="80"/>
        <v>3000</v>
      </c>
      <c r="H959" s="177">
        <f t="shared" si="80"/>
        <v>3000</v>
      </c>
      <c r="I959" s="113"/>
    </row>
    <row r="960" spans="1:9">
      <c r="A960" s="31">
        <v>1047</v>
      </c>
      <c r="B960" s="53" t="s">
        <v>276</v>
      </c>
      <c r="C960" s="250"/>
      <c r="D960" s="198">
        <f t="shared" si="80"/>
        <v>0</v>
      </c>
      <c r="E960" s="198">
        <f t="shared" si="80"/>
        <v>3000</v>
      </c>
      <c r="F960" s="198">
        <f t="shared" si="80"/>
        <v>3000</v>
      </c>
      <c r="G960" s="198">
        <f t="shared" si="80"/>
        <v>3000</v>
      </c>
      <c r="H960" s="198">
        <f t="shared" si="80"/>
        <v>3000</v>
      </c>
      <c r="I960" s="117"/>
    </row>
    <row r="961" spans="1:9" ht="27">
      <c r="A961" s="20">
        <v>1047</v>
      </c>
      <c r="B961" s="24">
        <v>31001</v>
      </c>
      <c r="C961" s="242" t="s">
        <v>275</v>
      </c>
      <c r="D961" s="172">
        <v>0</v>
      </c>
      <c r="E961" s="172">
        <v>3000</v>
      </c>
      <c r="F961" s="172">
        <v>3000</v>
      </c>
      <c r="G961" s="172">
        <v>3000</v>
      </c>
      <c r="H961" s="172">
        <v>3000</v>
      </c>
      <c r="I961" s="125"/>
    </row>
    <row r="962" spans="1:9">
      <c r="A962" s="162" t="s">
        <v>17</v>
      </c>
      <c r="B962" s="85" t="s">
        <v>63</v>
      </c>
      <c r="C962" s="248"/>
      <c r="D962" s="214">
        <f>D963+D967</f>
        <v>456170.88</v>
      </c>
      <c r="E962" s="214">
        <f>E963+E967</f>
        <v>463179.4</v>
      </c>
      <c r="F962" s="214">
        <f>F963+F967</f>
        <v>472959.1</v>
      </c>
      <c r="G962" s="214">
        <f>G963+G967</f>
        <v>473424.6</v>
      </c>
      <c r="H962" s="214">
        <f>H963+H967</f>
        <v>473424.6</v>
      </c>
      <c r="I962" s="102"/>
    </row>
    <row r="963" spans="1:9">
      <c r="A963" s="278" t="s">
        <v>8</v>
      </c>
      <c r="B963" s="86"/>
      <c r="C963" s="244"/>
      <c r="D963" s="215">
        <f>D964</f>
        <v>453126.68</v>
      </c>
      <c r="E963" s="215">
        <f>E964</f>
        <v>459889.4</v>
      </c>
      <c r="F963" s="215">
        <f>F964</f>
        <v>469959.1</v>
      </c>
      <c r="G963" s="215">
        <f>G964</f>
        <v>470424.6</v>
      </c>
      <c r="H963" s="215">
        <f>H964</f>
        <v>470424.6</v>
      </c>
      <c r="I963" s="103"/>
    </row>
    <row r="964" spans="1:9" ht="49.5">
      <c r="A964" s="30">
        <v>1051</v>
      </c>
      <c r="B964" s="286" t="s">
        <v>76</v>
      </c>
      <c r="C964" s="247"/>
      <c r="D964" s="204">
        <f>D965+D966</f>
        <v>453126.68</v>
      </c>
      <c r="E964" s="204">
        <f>E965+E966</f>
        <v>459889.4</v>
      </c>
      <c r="F964" s="204">
        <f>F965+F966</f>
        <v>469959.1</v>
      </c>
      <c r="G964" s="204">
        <f>G965+G966</f>
        <v>470424.6</v>
      </c>
      <c r="H964" s="204">
        <f>H965+H966</f>
        <v>470424.6</v>
      </c>
      <c r="I964" s="155"/>
    </row>
    <row r="965" spans="1:9">
      <c r="A965" s="5">
        <v>1051</v>
      </c>
      <c r="B965" s="2">
        <v>11001</v>
      </c>
      <c r="C965" s="267" t="s">
        <v>67</v>
      </c>
      <c r="D965" s="172">
        <v>452679.18</v>
      </c>
      <c r="E965" s="172">
        <v>459889.4</v>
      </c>
      <c r="F965" s="172">
        <v>469959.1</v>
      </c>
      <c r="G965" s="172">
        <v>470424.6</v>
      </c>
      <c r="H965" s="172">
        <v>470424.6</v>
      </c>
      <c r="I965" s="156"/>
    </row>
    <row r="966" spans="1:9">
      <c r="A966" s="5">
        <v>1051</v>
      </c>
      <c r="B966" s="2">
        <v>11003</v>
      </c>
      <c r="C966" s="267" t="s">
        <v>68</v>
      </c>
      <c r="D966" s="172">
        <v>447.5</v>
      </c>
      <c r="E966" s="172"/>
      <c r="F966" s="172"/>
      <c r="G966" s="172"/>
      <c r="H966" s="172"/>
      <c r="I966" s="156"/>
    </row>
    <row r="967" spans="1:9">
      <c r="A967" s="278" t="s">
        <v>9</v>
      </c>
      <c r="B967" s="86"/>
      <c r="C967" s="244"/>
      <c r="D967" s="216">
        <f t="shared" ref="D967:H968" si="81">D968</f>
        <v>3044.2</v>
      </c>
      <c r="E967" s="216">
        <f t="shared" si="81"/>
        <v>3290</v>
      </c>
      <c r="F967" s="216">
        <f t="shared" si="81"/>
        <v>3000</v>
      </c>
      <c r="G967" s="216">
        <f t="shared" si="81"/>
        <v>3000</v>
      </c>
      <c r="H967" s="216">
        <f t="shared" si="81"/>
        <v>3000</v>
      </c>
      <c r="I967" s="104"/>
    </row>
    <row r="968" spans="1:9" ht="49.5">
      <c r="A968" s="34">
        <v>1051</v>
      </c>
      <c r="B968" s="286" t="s">
        <v>76</v>
      </c>
      <c r="C968" s="247"/>
      <c r="D968" s="204">
        <f t="shared" si="81"/>
        <v>3044.2</v>
      </c>
      <c r="E968" s="204">
        <f t="shared" si="81"/>
        <v>3290</v>
      </c>
      <c r="F968" s="204">
        <f t="shared" si="81"/>
        <v>3000</v>
      </c>
      <c r="G968" s="204">
        <f t="shared" si="81"/>
        <v>3000</v>
      </c>
      <c r="H968" s="204">
        <f t="shared" si="81"/>
        <v>3000</v>
      </c>
      <c r="I968" s="155"/>
    </row>
    <row r="969" spans="1:9">
      <c r="A969" s="5">
        <v>1051</v>
      </c>
      <c r="B969" s="2">
        <v>31001</v>
      </c>
      <c r="C969" s="267" t="s">
        <v>69</v>
      </c>
      <c r="D969" s="172">
        <v>3044.2</v>
      </c>
      <c r="E969" s="172">
        <v>3290</v>
      </c>
      <c r="F969" s="172">
        <v>3000</v>
      </c>
      <c r="G969" s="172">
        <v>3000</v>
      </c>
      <c r="H969" s="172">
        <v>3000</v>
      </c>
      <c r="I969" s="156"/>
    </row>
    <row r="970" spans="1:9">
      <c r="A970" s="163" t="s">
        <v>17</v>
      </c>
      <c r="B970" s="85" t="s">
        <v>64</v>
      </c>
      <c r="C970" s="248"/>
      <c r="D970" s="217">
        <f>D971+D974</f>
        <v>565075.80000000005</v>
      </c>
      <c r="E970" s="217">
        <f>E971+E974</f>
        <v>567677.69999999995</v>
      </c>
      <c r="F970" s="217">
        <f>F971+F974</f>
        <v>567677.69999999995</v>
      </c>
      <c r="G970" s="217">
        <f>G971+G974</f>
        <v>567677.69999999995</v>
      </c>
      <c r="H970" s="217">
        <f>H971+H974</f>
        <v>567677.69999999995</v>
      </c>
      <c r="I970" s="105"/>
    </row>
    <row r="971" spans="1:9">
      <c r="A971" s="278" t="s">
        <v>8</v>
      </c>
      <c r="B971" s="86"/>
      <c r="C971" s="244"/>
      <c r="D971" s="215">
        <f t="shared" ref="D971:H972" si="82">D972</f>
        <v>560643.9</v>
      </c>
      <c r="E971" s="215">
        <f t="shared" si="82"/>
        <v>565177.69999999995</v>
      </c>
      <c r="F971" s="215">
        <f t="shared" si="82"/>
        <v>565177.69999999995</v>
      </c>
      <c r="G971" s="215">
        <f t="shared" si="82"/>
        <v>565177.69999999995</v>
      </c>
      <c r="H971" s="215">
        <f t="shared" si="82"/>
        <v>565177.69999999995</v>
      </c>
      <c r="I971" s="103"/>
    </row>
    <row r="972" spans="1:9" ht="49.5">
      <c r="A972" s="32">
        <v>1055</v>
      </c>
      <c r="B972" s="84" t="s">
        <v>95</v>
      </c>
      <c r="C972" s="245"/>
      <c r="D972" s="218">
        <f t="shared" si="82"/>
        <v>560643.9</v>
      </c>
      <c r="E972" s="218">
        <f t="shared" si="82"/>
        <v>565177.69999999995</v>
      </c>
      <c r="F972" s="218">
        <f t="shared" si="82"/>
        <v>565177.69999999995</v>
      </c>
      <c r="G972" s="218">
        <f t="shared" si="82"/>
        <v>565177.69999999995</v>
      </c>
      <c r="H972" s="218">
        <f t="shared" si="82"/>
        <v>565177.69999999995</v>
      </c>
      <c r="I972" s="106"/>
    </row>
    <row r="973" spans="1:9" ht="40.5">
      <c r="A973" s="10">
        <v>1055</v>
      </c>
      <c r="B973" s="2">
        <v>11001</v>
      </c>
      <c r="C973" s="44" t="s">
        <v>94</v>
      </c>
      <c r="D973" s="172">
        <v>560643.9</v>
      </c>
      <c r="E973" s="172">
        <v>565177.69999999995</v>
      </c>
      <c r="F973" s="172">
        <v>565177.69999999995</v>
      </c>
      <c r="G973" s="172">
        <v>565177.69999999995</v>
      </c>
      <c r="H973" s="172">
        <v>565177.69999999995</v>
      </c>
      <c r="I973" s="156"/>
    </row>
    <row r="974" spans="1:9">
      <c r="A974" s="278" t="s">
        <v>9</v>
      </c>
      <c r="B974" s="86"/>
      <c r="C974" s="244"/>
      <c r="D974" s="215">
        <f t="shared" ref="D974:H975" si="83">D975</f>
        <v>4431.8999999999996</v>
      </c>
      <c r="E974" s="215">
        <f t="shared" si="83"/>
        <v>2500</v>
      </c>
      <c r="F974" s="215">
        <f t="shared" si="83"/>
        <v>2500</v>
      </c>
      <c r="G974" s="215">
        <f t="shared" si="83"/>
        <v>2500</v>
      </c>
      <c r="H974" s="215">
        <f t="shared" si="83"/>
        <v>2500</v>
      </c>
      <c r="I974" s="103"/>
    </row>
    <row r="975" spans="1:9" ht="49.5">
      <c r="A975" s="32">
        <v>1055</v>
      </c>
      <c r="B975" s="84" t="s">
        <v>95</v>
      </c>
      <c r="C975" s="245"/>
      <c r="D975" s="218">
        <f t="shared" si="83"/>
        <v>4431.8999999999996</v>
      </c>
      <c r="E975" s="218">
        <f t="shared" si="83"/>
        <v>2500</v>
      </c>
      <c r="F975" s="218">
        <f t="shared" si="83"/>
        <v>2500</v>
      </c>
      <c r="G975" s="218">
        <f t="shared" si="83"/>
        <v>2500</v>
      </c>
      <c r="H975" s="218">
        <f t="shared" si="83"/>
        <v>2500</v>
      </c>
      <c r="I975" s="106"/>
    </row>
    <row r="976" spans="1:9" ht="27">
      <c r="A976" s="10">
        <v>1055</v>
      </c>
      <c r="B976" s="2">
        <v>31001</v>
      </c>
      <c r="C976" s="44" t="s">
        <v>96</v>
      </c>
      <c r="D976" s="172">
        <v>4431.8999999999996</v>
      </c>
      <c r="E976" s="172">
        <v>2500</v>
      </c>
      <c r="F976" s="172">
        <v>2500</v>
      </c>
      <c r="G976" s="172">
        <v>2500</v>
      </c>
      <c r="H976" s="172">
        <v>2500</v>
      </c>
      <c r="I976" s="156"/>
    </row>
    <row r="977" spans="1:9">
      <c r="A977" s="10"/>
      <c r="B977" s="2"/>
      <c r="C977" s="269" t="s">
        <v>97</v>
      </c>
      <c r="D977" s="172">
        <v>4431.8999999999996</v>
      </c>
      <c r="E977" s="172">
        <v>2500</v>
      </c>
      <c r="F977" s="172">
        <v>2500</v>
      </c>
      <c r="G977" s="172">
        <v>2500</v>
      </c>
      <c r="H977" s="172">
        <v>2500</v>
      </c>
      <c r="I977" s="156"/>
    </row>
    <row r="978" spans="1:9">
      <c r="A978" s="13"/>
      <c r="B978" s="289"/>
    </row>
    <row r="979" spans="1:9" ht="409.5">
      <c r="A979" s="301" t="s">
        <v>16</v>
      </c>
      <c r="B979" s="52"/>
    </row>
    <row r="980" spans="1:9">
      <c r="A980" s="13" t="s">
        <v>14</v>
      </c>
      <c r="B980" s="289"/>
    </row>
    <row r="981" spans="1:9">
      <c r="A981" s="13" t="s">
        <v>15</v>
      </c>
    </row>
  </sheetData>
  <mergeCells count="190">
    <mergeCell ref="A318:C318"/>
    <mergeCell ref="A315:C315"/>
    <mergeCell ref="B314:C314"/>
    <mergeCell ref="B319:C319"/>
    <mergeCell ref="B322:C322"/>
    <mergeCell ref="B316:C316"/>
    <mergeCell ref="B255:C255"/>
    <mergeCell ref="B258:C258"/>
    <mergeCell ref="B268:C268"/>
    <mergeCell ref="B277:C277"/>
    <mergeCell ref="B281:C281"/>
    <mergeCell ref="B283:C283"/>
    <mergeCell ref="B287:C287"/>
    <mergeCell ref="B289:C289"/>
    <mergeCell ref="B285:C285"/>
    <mergeCell ref="B191:C191"/>
    <mergeCell ref="B189:C189"/>
    <mergeCell ref="B187:C187"/>
    <mergeCell ref="B182:C182"/>
    <mergeCell ref="B172:C172"/>
    <mergeCell ref="B169:C169"/>
    <mergeCell ref="B242:C242"/>
    <mergeCell ref="B253:C253"/>
    <mergeCell ref="A241:C241"/>
    <mergeCell ref="B222:C222"/>
    <mergeCell ref="B220:C220"/>
    <mergeCell ref="B218:C218"/>
    <mergeCell ref="B213:C213"/>
    <mergeCell ref="B211:C211"/>
    <mergeCell ref="B209:C209"/>
    <mergeCell ref="B204:C204"/>
    <mergeCell ref="B193:C193"/>
    <mergeCell ref="B885:C885"/>
    <mergeCell ref="A884:C884"/>
    <mergeCell ref="I5:I6"/>
    <mergeCell ref="B7:C7"/>
    <mergeCell ref="B8:C8"/>
    <mergeCell ref="A9:C9"/>
    <mergeCell ref="B10:C10"/>
    <mergeCell ref="A12:C12"/>
    <mergeCell ref="A5:A6"/>
    <mergeCell ref="B5:B6"/>
    <mergeCell ref="C5:C6"/>
    <mergeCell ref="D5:D6"/>
    <mergeCell ref="E5:E6"/>
    <mergeCell ref="F5:H5"/>
    <mergeCell ref="B27:C27"/>
    <mergeCell ref="B29:C29"/>
    <mergeCell ref="B127:C127"/>
    <mergeCell ref="A128:C128"/>
    <mergeCell ref="B32:C32"/>
    <mergeCell ref="A153:C153"/>
    <mergeCell ref="B13:C13"/>
    <mergeCell ref="B15:C15"/>
    <mergeCell ref="A16:C16"/>
    <mergeCell ref="B17:C17"/>
    <mergeCell ref="A23:C23"/>
    <mergeCell ref="B24:C24"/>
    <mergeCell ref="I428:I430"/>
    <mergeCell ref="B438:C438"/>
    <mergeCell ref="A302:C302"/>
    <mergeCell ref="B303:C303"/>
    <mergeCell ref="B307:C307"/>
    <mergeCell ref="B311:C311"/>
    <mergeCell ref="B324:C324"/>
    <mergeCell ref="B326:C326"/>
    <mergeCell ref="B154:C154"/>
    <mergeCell ref="B158:C158"/>
    <mergeCell ref="A159:C159"/>
    <mergeCell ref="B63:C63"/>
    <mergeCell ref="B165:C165"/>
    <mergeCell ref="B301:C301"/>
    <mergeCell ref="A168:C168"/>
    <mergeCell ref="B167:C167"/>
    <mergeCell ref="B238:C238"/>
    <mergeCell ref="B231:C231"/>
    <mergeCell ref="B226:C226"/>
    <mergeCell ref="B224:C224"/>
    <mergeCell ref="A28:C28"/>
    <mergeCell ref="B126:C126"/>
    <mergeCell ref="B445:C445"/>
    <mergeCell ref="B453:C453"/>
    <mergeCell ref="B496:C496"/>
    <mergeCell ref="B509:C509"/>
    <mergeCell ref="B524:C524"/>
    <mergeCell ref="B541:C541"/>
    <mergeCell ref="B371:C371"/>
    <mergeCell ref="B398:C398"/>
    <mergeCell ref="B404:C404"/>
    <mergeCell ref="B422:C422"/>
    <mergeCell ref="B613:C613"/>
    <mergeCell ref="A628:C628"/>
    <mergeCell ref="B629:C629"/>
    <mergeCell ref="B631:C631"/>
    <mergeCell ref="B636:C636"/>
    <mergeCell ref="B557:C557"/>
    <mergeCell ref="B559:C559"/>
    <mergeCell ref="B561:C561"/>
    <mergeCell ref="B574:C574"/>
    <mergeCell ref="B579:C579"/>
    <mergeCell ref="B583:C583"/>
    <mergeCell ref="I712:I715"/>
    <mergeCell ref="A716:C716"/>
    <mergeCell ref="B717:C717"/>
    <mergeCell ref="B719:C719"/>
    <mergeCell ref="B692:C692"/>
    <mergeCell ref="B694:C694"/>
    <mergeCell ref="B696:C696"/>
    <mergeCell ref="B698:C698"/>
    <mergeCell ref="A706:C706"/>
    <mergeCell ref="B707:C707"/>
    <mergeCell ref="I739:I742"/>
    <mergeCell ref="A743:C743"/>
    <mergeCell ref="B744:C744"/>
    <mergeCell ref="A720:C720"/>
    <mergeCell ref="A721:C721"/>
    <mergeCell ref="B722:C722"/>
    <mergeCell ref="A723:C723"/>
    <mergeCell ref="B724:C724"/>
    <mergeCell ref="B731:C731"/>
    <mergeCell ref="I875:I877"/>
    <mergeCell ref="A1:I1"/>
    <mergeCell ref="A2:I2"/>
    <mergeCell ref="B797:C797"/>
    <mergeCell ref="A800:C800"/>
    <mergeCell ref="A801:C801"/>
    <mergeCell ref="B804:C804"/>
    <mergeCell ref="B807:C807"/>
    <mergeCell ref="I867:I871"/>
    <mergeCell ref="A778:C778"/>
    <mergeCell ref="I782:I784"/>
    <mergeCell ref="I787:I788"/>
    <mergeCell ref="A791:C791"/>
    <mergeCell ref="B792:C792"/>
    <mergeCell ref="A796:C796"/>
    <mergeCell ref="I745:I746"/>
    <mergeCell ref="B747:C747"/>
    <mergeCell ref="B749:C749"/>
    <mergeCell ref="B751:C751"/>
    <mergeCell ref="B776:C776"/>
    <mergeCell ref="A777:C777"/>
    <mergeCell ref="I732:I733"/>
    <mergeCell ref="B734:C734"/>
    <mergeCell ref="B738:C738"/>
    <mergeCell ref="B819:C819"/>
    <mergeCell ref="A820:C820"/>
    <mergeCell ref="A830:C830"/>
    <mergeCell ref="B831:C831"/>
    <mergeCell ref="I835:I836"/>
    <mergeCell ref="B821:C821"/>
    <mergeCell ref="B828:C828"/>
    <mergeCell ref="B774:C774"/>
    <mergeCell ref="B770:C770"/>
    <mergeCell ref="B129:C129"/>
    <mergeCell ref="B160:C160"/>
    <mergeCell ref="B184:C184"/>
    <mergeCell ref="B763:C763"/>
    <mergeCell ref="B761:C761"/>
    <mergeCell ref="B755:C755"/>
    <mergeCell ref="B753:C753"/>
    <mergeCell ref="A754:C754"/>
    <mergeCell ref="B705:C705"/>
    <mergeCell ref="B709:C709"/>
    <mergeCell ref="B711:C711"/>
    <mergeCell ref="B660:C660"/>
    <mergeCell ref="B665:C665"/>
    <mergeCell ref="B671:C671"/>
    <mergeCell ref="B676:C676"/>
    <mergeCell ref="B685:C685"/>
    <mergeCell ref="B688:C688"/>
    <mergeCell ref="B638:C638"/>
    <mergeCell ref="B647:C647"/>
    <mergeCell ref="B650:C650"/>
    <mergeCell ref="B653:C653"/>
    <mergeCell ref="B656:C656"/>
    <mergeCell ref="B658:C658"/>
    <mergeCell ref="B592:C592"/>
    <mergeCell ref="A103:C103"/>
    <mergeCell ref="B104:C104"/>
    <mergeCell ref="B108:C108"/>
    <mergeCell ref="B116:C116"/>
    <mergeCell ref="B40:C40"/>
    <mergeCell ref="B43:C43"/>
    <mergeCell ref="B50:C50"/>
    <mergeCell ref="B52:C52"/>
    <mergeCell ref="B73:C73"/>
    <mergeCell ref="B87:C87"/>
    <mergeCell ref="B91:C91"/>
    <mergeCell ref="B95:C95"/>
    <mergeCell ref="B99:C9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3"/>
  <sheetViews>
    <sheetView workbookViewId="0">
      <pane ySplit="1" topLeftCell="A2" activePane="bottomLeft" state="frozen"/>
      <selection pane="bottomLeft" activeCell="D5" sqref="D5"/>
    </sheetView>
  </sheetViews>
  <sheetFormatPr defaultRowHeight="16.5"/>
  <cols>
    <col min="1" max="1" width="9.140625" style="65"/>
    <col min="2" max="2" width="72" style="65" customWidth="1"/>
    <col min="3" max="3" width="17" style="5" customWidth="1"/>
    <col min="4" max="4" width="32.5703125" style="5" customWidth="1"/>
  </cols>
  <sheetData>
    <row r="1" spans="1:4" s="6" customFormat="1">
      <c r="A1" s="61" t="s">
        <v>17</v>
      </c>
      <c r="B1" s="61" t="s">
        <v>100</v>
      </c>
      <c r="C1" s="62" t="s">
        <v>99</v>
      </c>
      <c r="D1" s="62" t="s">
        <v>721</v>
      </c>
    </row>
    <row r="2" spans="1:4">
      <c r="A2" s="63" t="s">
        <v>17</v>
      </c>
      <c r="B2" s="64" t="s">
        <v>18</v>
      </c>
      <c r="C2" s="5" t="s">
        <v>101</v>
      </c>
    </row>
    <row r="3" spans="1:4">
      <c r="A3" s="63" t="s">
        <v>17</v>
      </c>
      <c r="B3" s="64" t="s">
        <v>19</v>
      </c>
      <c r="C3" s="5" t="s">
        <v>78</v>
      </c>
    </row>
    <row r="4" spans="1:4" ht="18.75" customHeight="1">
      <c r="A4" s="63" t="s">
        <v>17</v>
      </c>
      <c r="B4" s="64" t="s">
        <v>20</v>
      </c>
      <c r="C4" s="5" t="s">
        <v>163</v>
      </c>
      <c r="D4" s="25" t="s">
        <v>1028</v>
      </c>
    </row>
    <row r="5" spans="1:4">
      <c r="A5" s="63" t="s">
        <v>17</v>
      </c>
      <c r="B5" s="64" t="s">
        <v>21</v>
      </c>
      <c r="C5" s="5" t="s">
        <v>87</v>
      </c>
      <c r="D5" s="5" t="s">
        <v>722</v>
      </c>
    </row>
    <row r="6" spans="1:4">
      <c r="A6" s="63" t="s">
        <v>17</v>
      </c>
      <c r="B6" s="64" t="s">
        <v>22</v>
      </c>
      <c r="C6" s="5" t="s">
        <v>106</v>
      </c>
    </row>
    <row r="7" spans="1:4">
      <c r="A7" s="63" t="s">
        <v>17</v>
      </c>
      <c r="B7" s="64" t="s">
        <v>23</v>
      </c>
      <c r="C7" s="5" t="s">
        <v>155</v>
      </c>
    </row>
    <row r="8" spans="1:4">
      <c r="A8" s="63" t="s">
        <v>17</v>
      </c>
      <c r="B8" s="64" t="s">
        <v>24</v>
      </c>
      <c r="C8" s="5" t="s">
        <v>891</v>
      </c>
      <c r="D8" s="5" t="s">
        <v>796</v>
      </c>
    </row>
    <row r="9" spans="1:4">
      <c r="A9" s="63" t="s">
        <v>17</v>
      </c>
      <c r="B9" s="64" t="s">
        <v>25</v>
      </c>
    </row>
    <row r="10" spans="1:4">
      <c r="A10" s="63" t="s">
        <v>17</v>
      </c>
      <c r="B10" s="64" t="s">
        <v>26</v>
      </c>
    </row>
    <row r="11" spans="1:4">
      <c r="A11" s="63" t="s">
        <v>17</v>
      </c>
      <c r="B11" s="64" t="s">
        <v>27</v>
      </c>
    </row>
    <row r="12" spans="1:4">
      <c r="A12" s="63" t="s">
        <v>17</v>
      </c>
      <c r="B12" s="64" t="s">
        <v>28</v>
      </c>
      <c r="C12" s="5" t="s">
        <v>365</v>
      </c>
    </row>
    <row r="13" spans="1:4">
      <c r="A13" s="63" t="s">
        <v>17</v>
      </c>
      <c r="B13" s="64" t="s">
        <v>29</v>
      </c>
      <c r="C13" s="5" t="s">
        <v>987</v>
      </c>
    </row>
    <row r="14" spans="1:4">
      <c r="A14" s="63" t="s">
        <v>17</v>
      </c>
      <c r="B14" s="64" t="s">
        <v>30</v>
      </c>
      <c r="C14" s="5" t="s">
        <v>364</v>
      </c>
    </row>
    <row r="15" spans="1:4">
      <c r="A15" s="63" t="s">
        <v>17</v>
      </c>
      <c r="B15" s="64" t="s">
        <v>31</v>
      </c>
      <c r="C15" s="5" t="s">
        <v>200</v>
      </c>
    </row>
    <row r="16" spans="1:4" ht="20.25" customHeight="1">
      <c r="A16" s="63" t="s">
        <v>17</v>
      </c>
      <c r="B16" s="64" t="s">
        <v>32</v>
      </c>
      <c r="D16" s="25" t="s">
        <v>723</v>
      </c>
    </row>
    <row r="17" spans="1:4">
      <c r="A17" s="63" t="s">
        <v>17</v>
      </c>
      <c r="B17" s="64" t="s">
        <v>33</v>
      </c>
      <c r="C17" s="5" t="s">
        <v>320</v>
      </c>
    </row>
    <row r="18" spans="1:4">
      <c r="A18" s="63" t="s">
        <v>17</v>
      </c>
      <c r="B18" s="43" t="s">
        <v>34</v>
      </c>
      <c r="C18" s="5" t="s">
        <v>231</v>
      </c>
    </row>
    <row r="19" spans="1:4">
      <c r="A19" s="63" t="s">
        <v>17</v>
      </c>
      <c r="B19" s="64" t="s">
        <v>35</v>
      </c>
    </row>
    <row r="20" spans="1:4">
      <c r="A20" s="63" t="s">
        <v>17</v>
      </c>
      <c r="B20" s="64" t="s">
        <v>36</v>
      </c>
      <c r="C20" s="5" t="s">
        <v>266</v>
      </c>
      <c r="D20" s="5" t="s">
        <v>722</v>
      </c>
    </row>
    <row r="21" spans="1:4">
      <c r="A21" s="63" t="s">
        <v>17</v>
      </c>
      <c r="B21" s="64" t="s">
        <v>37</v>
      </c>
      <c r="C21" s="5" t="s">
        <v>310</v>
      </c>
    </row>
    <row r="22" spans="1:4">
      <c r="A22" s="63" t="s">
        <v>17</v>
      </c>
      <c r="B22" s="64" t="s">
        <v>38</v>
      </c>
      <c r="C22" s="5" t="s">
        <v>88</v>
      </c>
    </row>
    <row r="23" spans="1:4">
      <c r="A23" s="63" t="s">
        <v>17</v>
      </c>
      <c r="B23" s="64" t="s">
        <v>39</v>
      </c>
    </row>
    <row r="24" spans="1:4">
      <c r="A24" s="63" t="s">
        <v>17</v>
      </c>
      <c r="B24" s="64" t="s">
        <v>40</v>
      </c>
      <c r="C24" s="5" t="s">
        <v>287</v>
      </c>
    </row>
    <row r="25" spans="1:4">
      <c r="A25" s="63" t="s">
        <v>17</v>
      </c>
      <c r="B25" s="64" t="s">
        <v>41</v>
      </c>
      <c r="C25" s="5" t="s">
        <v>176</v>
      </c>
      <c r="D25" s="5" t="s">
        <v>722</v>
      </c>
    </row>
    <row r="26" spans="1:4">
      <c r="A26" s="63" t="s">
        <v>17</v>
      </c>
      <c r="B26" s="43" t="s">
        <v>42</v>
      </c>
      <c r="C26" s="5" t="s">
        <v>998</v>
      </c>
    </row>
    <row r="27" spans="1:4">
      <c r="A27" s="63" t="s">
        <v>17</v>
      </c>
      <c r="B27" s="64" t="s">
        <v>43</v>
      </c>
      <c r="C27" s="5" t="s">
        <v>182</v>
      </c>
    </row>
    <row r="28" spans="1:4">
      <c r="A28" s="63" t="s">
        <v>17</v>
      </c>
      <c r="B28" s="43" t="s">
        <v>44</v>
      </c>
      <c r="C28" s="5" t="s">
        <v>277</v>
      </c>
    </row>
    <row r="29" spans="1:4" ht="23.25" customHeight="1">
      <c r="A29" s="63" t="s">
        <v>17</v>
      </c>
      <c r="B29" s="43" t="s">
        <v>45</v>
      </c>
      <c r="C29" s="5" t="s">
        <v>177</v>
      </c>
      <c r="D29" s="25" t="s">
        <v>228</v>
      </c>
    </row>
    <row r="30" spans="1:4">
      <c r="A30" s="63" t="s">
        <v>17</v>
      </c>
      <c r="B30" s="64" t="s">
        <v>46</v>
      </c>
      <c r="C30" s="5" t="s">
        <v>105</v>
      </c>
      <c r="D30" s="119" t="s">
        <v>722</v>
      </c>
    </row>
    <row r="31" spans="1:4">
      <c r="A31" s="63" t="s">
        <v>17</v>
      </c>
      <c r="B31" s="64" t="s">
        <v>47</v>
      </c>
      <c r="C31" s="5" t="s">
        <v>225</v>
      </c>
    </row>
    <row r="32" spans="1:4">
      <c r="A32" s="63" t="s">
        <v>17</v>
      </c>
      <c r="B32" s="64" t="s">
        <v>48</v>
      </c>
      <c r="C32" s="5" t="s">
        <v>265</v>
      </c>
    </row>
    <row r="33" spans="1:3">
      <c r="A33" s="63" t="s">
        <v>17</v>
      </c>
      <c r="B33" s="64" t="s">
        <v>49</v>
      </c>
      <c r="C33" s="5" t="s">
        <v>189</v>
      </c>
    </row>
    <row r="34" spans="1:3">
      <c r="A34" s="63" t="s">
        <v>17</v>
      </c>
      <c r="B34" s="64" t="s">
        <v>50</v>
      </c>
      <c r="C34" s="5" t="s">
        <v>986</v>
      </c>
    </row>
    <row r="35" spans="1:3">
      <c r="A35" s="63" t="s">
        <v>17</v>
      </c>
      <c r="B35" s="64" t="s">
        <v>51</v>
      </c>
      <c r="C35" s="5" t="s">
        <v>164</v>
      </c>
    </row>
    <row r="36" spans="1:3">
      <c r="A36" s="63" t="s">
        <v>17</v>
      </c>
      <c r="B36" s="64" t="s">
        <v>52</v>
      </c>
      <c r="C36" s="5" t="s">
        <v>304</v>
      </c>
    </row>
    <row r="37" spans="1:3">
      <c r="A37" s="63" t="s">
        <v>17</v>
      </c>
      <c r="B37" s="64" t="s">
        <v>53</v>
      </c>
      <c r="C37" s="5" t="s">
        <v>359</v>
      </c>
    </row>
    <row r="38" spans="1:3">
      <c r="A38" s="63" t="s">
        <v>17</v>
      </c>
      <c r="B38" s="64" t="s">
        <v>54</v>
      </c>
    </row>
    <row r="39" spans="1:3">
      <c r="A39" s="63" t="s">
        <v>17</v>
      </c>
      <c r="B39" s="64" t="s">
        <v>55</v>
      </c>
      <c r="C39" s="5" t="s">
        <v>283</v>
      </c>
    </row>
    <row r="40" spans="1:3">
      <c r="A40" s="63" t="s">
        <v>17</v>
      </c>
      <c r="B40" s="64" t="s">
        <v>56</v>
      </c>
      <c r="C40" s="5" t="s">
        <v>170</v>
      </c>
    </row>
    <row r="41" spans="1:3">
      <c r="A41" s="63" t="s">
        <v>17</v>
      </c>
      <c r="B41" s="64" t="s">
        <v>57</v>
      </c>
      <c r="C41" s="5" t="s">
        <v>183</v>
      </c>
    </row>
    <row r="42" spans="1:3">
      <c r="A42" s="63" t="s">
        <v>17</v>
      </c>
      <c r="B42" s="64" t="s">
        <v>58</v>
      </c>
      <c r="C42" s="5" t="s">
        <v>179</v>
      </c>
    </row>
    <row r="43" spans="1:3">
      <c r="A43" s="63" t="s">
        <v>17</v>
      </c>
      <c r="B43" s="64" t="s">
        <v>59</v>
      </c>
      <c r="C43" s="5" t="s">
        <v>77</v>
      </c>
    </row>
    <row r="44" spans="1:3">
      <c r="A44" s="63" t="s">
        <v>17</v>
      </c>
      <c r="B44" s="64" t="s">
        <v>60</v>
      </c>
      <c r="C44" s="5" t="s">
        <v>173</v>
      </c>
    </row>
    <row r="45" spans="1:3">
      <c r="A45" s="63" t="s">
        <v>17</v>
      </c>
      <c r="B45" s="64" t="s">
        <v>61</v>
      </c>
      <c r="C45" s="5" t="s">
        <v>161</v>
      </c>
    </row>
    <row r="46" spans="1:3">
      <c r="A46" s="63" t="s">
        <v>17</v>
      </c>
      <c r="B46" s="64" t="s">
        <v>62</v>
      </c>
      <c r="C46" s="5" t="s">
        <v>273</v>
      </c>
    </row>
    <row r="47" spans="1:3">
      <c r="A47" s="63" t="s">
        <v>17</v>
      </c>
      <c r="B47" s="64" t="s">
        <v>63</v>
      </c>
      <c r="C47" s="5" t="s">
        <v>66</v>
      </c>
    </row>
    <row r="48" spans="1:3">
      <c r="A48" s="63" t="s">
        <v>17</v>
      </c>
      <c r="B48" s="64" t="s">
        <v>64</v>
      </c>
      <c r="C48" s="5" t="s">
        <v>98</v>
      </c>
    </row>
    <row r="49" spans="1:4">
      <c r="A49"/>
      <c r="B49"/>
      <c r="C49" s="13"/>
      <c r="D49" s="13"/>
    </row>
    <row r="50" spans="1:4">
      <c r="A50"/>
      <c r="B50"/>
      <c r="C50" s="13"/>
      <c r="D50" s="13"/>
    </row>
    <row r="51" spans="1:4">
      <c r="A51"/>
      <c r="B51"/>
      <c r="C51" s="13"/>
      <c r="D51" s="13"/>
    </row>
    <row r="52" spans="1:4">
      <c r="A52"/>
      <c r="B52"/>
      <c r="C52" s="13"/>
      <c r="D52" s="13"/>
    </row>
    <row r="53" spans="1:4">
      <c r="A53"/>
      <c r="B53"/>
      <c r="C53" s="13"/>
      <c r="D53" s="13"/>
    </row>
    <row r="54" spans="1:4">
      <c r="A54"/>
      <c r="B54"/>
      <c r="C54" s="13"/>
      <c r="D54" s="13"/>
    </row>
    <row r="55" spans="1:4">
      <c r="A55"/>
      <c r="B55"/>
      <c r="C55" s="13"/>
      <c r="D55" s="13"/>
    </row>
    <row r="56" spans="1:4">
      <c r="A56"/>
      <c r="B56"/>
      <c r="C56" s="13"/>
      <c r="D56" s="13"/>
    </row>
    <row r="57" spans="1:4">
      <c r="A57"/>
      <c r="B57"/>
      <c r="C57" s="13"/>
      <c r="D57" s="13"/>
    </row>
    <row r="58" spans="1:4">
      <c r="A58"/>
      <c r="B58"/>
      <c r="C58" s="13"/>
      <c r="D58" s="13"/>
    </row>
    <row r="59" spans="1:4">
      <c r="A59"/>
      <c r="B59"/>
      <c r="C59" s="13"/>
      <c r="D59" s="13"/>
    </row>
    <row r="60" spans="1:4">
      <c r="A60"/>
      <c r="B60"/>
      <c r="C60" s="13"/>
      <c r="D60" s="13"/>
    </row>
    <row r="61" spans="1:4">
      <c r="A61"/>
      <c r="B61"/>
      <c r="C61" s="13"/>
      <c r="D61" s="13"/>
    </row>
    <row r="62" spans="1:4">
      <c r="A62"/>
      <c r="B62"/>
      <c r="C62" s="13"/>
      <c r="D62" s="13"/>
    </row>
    <row r="63" spans="1:4">
      <c r="A63"/>
      <c r="B63"/>
      <c r="C63" s="13"/>
      <c r="D63" s="13"/>
    </row>
    <row r="64" spans="1:4">
      <c r="A64"/>
      <c r="B64"/>
      <c r="C64" s="13"/>
      <c r="D64" s="13"/>
    </row>
    <row r="65" spans="1:4">
      <c r="A65"/>
      <c r="B65"/>
      <c r="C65" s="13"/>
      <c r="D65" s="13"/>
    </row>
    <row r="66" spans="1:4">
      <c r="A66"/>
      <c r="B66"/>
      <c r="C66" s="13"/>
      <c r="D66" s="13"/>
    </row>
    <row r="67" spans="1:4">
      <c r="A67"/>
      <c r="B67"/>
      <c r="C67" s="13"/>
      <c r="D67" s="13"/>
    </row>
    <row r="68" spans="1:4">
      <c r="A68"/>
      <c r="B68"/>
      <c r="C68" s="13"/>
      <c r="D68" s="13"/>
    </row>
    <row r="69" spans="1:4">
      <c r="A69"/>
      <c r="B69"/>
      <c r="C69" s="13"/>
      <c r="D69" s="13"/>
    </row>
    <row r="70" spans="1:4">
      <c r="A70"/>
      <c r="B70"/>
      <c r="C70" s="13"/>
      <c r="D70" s="13"/>
    </row>
    <row r="71" spans="1:4">
      <c r="A71"/>
      <c r="B71"/>
      <c r="C71" s="13"/>
      <c r="D71" s="13"/>
    </row>
    <row r="72" spans="1:4">
      <c r="A72"/>
      <c r="B72"/>
      <c r="C72" s="13"/>
      <c r="D72" s="13"/>
    </row>
    <row r="73" spans="1:4">
      <c r="A73"/>
      <c r="B73"/>
      <c r="C73" s="13"/>
      <c r="D73" s="13"/>
    </row>
    <row r="74" spans="1:4">
      <c r="A74"/>
      <c r="B74"/>
      <c r="C74" s="13"/>
      <c r="D74" s="13"/>
    </row>
    <row r="75" spans="1:4">
      <c r="A75"/>
      <c r="B75"/>
      <c r="C75" s="13"/>
      <c r="D75" s="13"/>
    </row>
    <row r="76" spans="1:4">
      <c r="A76"/>
      <c r="B76"/>
      <c r="C76" s="13"/>
      <c r="D76" s="13"/>
    </row>
    <row r="77" spans="1:4">
      <c r="A77"/>
      <c r="B77"/>
      <c r="C77" s="13"/>
      <c r="D77" s="13"/>
    </row>
    <row r="78" spans="1:4">
      <c r="A78"/>
      <c r="B78"/>
      <c r="C78" s="13"/>
      <c r="D78" s="13"/>
    </row>
    <row r="79" spans="1:4">
      <c r="A79"/>
      <c r="B79"/>
      <c r="C79" s="13"/>
      <c r="D79" s="13"/>
    </row>
    <row r="80" spans="1:4">
      <c r="A80"/>
      <c r="B80"/>
      <c r="C80" s="13"/>
      <c r="D80" s="13"/>
    </row>
    <row r="81" spans="1:4">
      <c r="A81"/>
      <c r="B81"/>
      <c r="C81" s="13"/>
      <c r="D81" s="13"/>
    </row>
    <row r="82" spans="1:4">
      <c r="A82"/>
      <c r="B82"/>
      <c r="C82" s="13"/>
      <c r="D82" s="13"/>
    </row>
    <row r="83" spans="1:4">
      <c r="A83"/>
      <c r="B83"/>
      <c r="C83" s="13"/>
      <c r="D83" s="13"/>
    </row>
    <row r="84" spans="1:4">
      <c r="A84"/>
      <c r="B84"/>
      <c r="C84" s="13"/>
      <c r="D84" s="13"/>
    </row>
    <row r="85" spans="1:4">
      <c r="A85"/>
      <c r="B85"/>
      <c r="C85" s="13"/>
      <c r="D85" s="13"/>
    </row>
    <row r="86" spans="1:4">
      <c r="A86"/>
      <c r="B86"/>
      <c r="C86" s="13"/>
      <c r="D86" s="13"/>
    </row>
    <row r="87" spans="1:4">
      <c r="A87"/>
      <c r="B87"/>
      <c r="C87" s="13"/>
      <c r="D87" s="13"/>
    </row>
    <row r="88" spans="1:4">
      <c r="A88"/>
      <c r="B88"/>
      <c r="C88" s="13"/>
      <c r="D88" s="13"/>
    </row>
    <row r="89" spans="1:4">
      <c r="A89"/>
      <c r="B89"/>
      <c r="C89" s="13"/>
      <c r="D89" s="13"/>
    </row>
    <row r="90" spans="1:4">
      <c r="A90"/>
      <c r="B90"/>
      <c r="C90" s="13"/>
      <c r="D90" s="13"/>
    </row>
    <row r="91" spans="1:4">
      <c r="A91"/>
      <c r="B91"/>
      <c r="C91" s="13"/>
      <c r="D91" s="13"/>
    </row>
    <row r="92" spans="1:4">
      <c r="A92"/>
      <c r="B92"/>
      <c r="C92" s="13"/>
      <c r="D92" s="13"/>
    </row>
    <row r="93" spans="1:4">
      <c r="A93"/>
      <c r="B93"/>
      <c r="C93" s="13"/>
      <c r="D93" s="13"/>
    </row>
    <row r="94" spans="1:4">
      <c r="A94"/>
      <c r="B94"/>
      <c r="C94" s="13"/>
      <c r="D94" s="13"/>
    </row>
    <row r="95" spans="1:4">
      <c r="A95"/>
      <c r="B95"/>
      <c r="C95" s="13"/>
      <c r="D95" s="13"/>
    </row>
    <row r="96" spans="1:4">
      <c r="A96"/>
      <c r="B96"/>
      <c r="C96" s="13"/>
      <c r="D96" s="13"/>
    </row>
    <row r="97" spans="1:4">
      <c r="A97"/>
      <c r="B97"/>
      <c r="C97" s="13"/>
      <c r="D97" s="13"/>
    </row>
    <row r="98" spans="1:4">
      <c r="A98"/>
      <c r="B98"/>
      <c r="C98" s="13"/>
      <c r="D98" s="13"/>
    </row>
    <row r="99" spans="1:4">
      <c r="A99"/>
      <c r="B99"/>
      <c r="C99" s="13"/>
      <c r="D99" s="13"/>
    </row>
    <row r="100" spans="1:4">
      <c r="A100"/>
      <c r="B100"/>
      <c r="C100" s="13"/>
      <c r="D100" s="13"/>
    </row>
    <row r="101" spans="1:4">
      <c r="A101"/>
      <c r="B101"/>
      <c r="C101" s="13"/>
      <c r="D101" s="13"/>
    </row>
    <row r="102" spans="1:4">
      <c r="A102"/>
      <c r="B102"/>
      <c r="C102" s="13"/>
      <c r="D102" s="13"/>
    </row>
    <row r="103" spans="1:4">
      <c r="A103"/>
      <c r="B103"/>
      <c r="C103" s="13"/>
      <c r="D103" s="13"/>
    </row>
    <row r="104" spans="1:4">
      <c r="A104"/>
      <c r="B104"/>
      <c r="C104" s="13"/>
      <c r="D104" s="13"/>
    </row>
    <row r="105" spans="1:4">
      <c r="A105"/>
      <c r="B105"/>
      <c r="C105" s="13"/>
      <c r="D105" s="13"/>
    </row>
    <row r="106" spans="1:4">
      <c r="A106"/>
      <c r="B106"/>
      <c r="C106" s="13"/>
      <c r="D106" s="13"/>
    </row>
    <row r="107" spans="1:4">
      <c r="A107"/>
      <c r="B107"/>
      <c r="C107" s="13"/>
      <c r="D107" s="13"/>
    </row>
    <row r="108" spans="1:4">
      <c r="A108"/>
      <c r="B108"/>
      <c r="C108" s="13"/>
      <c r="D108" s="13"/>
    </row>
    <row r="109" spans="1:4">
      <c r="A109"/>
      <c r="B109"/>
      <c r="C109" s="13"/>
      <c r="D109" s="13"/>
    </row>
    <row r="110" spans="1:4">
      <c r="A110"/>
      <c r="B110"/>
      <c r="C110" s="13"/>
      <c r="D110" s="13"/>
    </row>
    <row r="111" spans="1:4">
      <c r="A111"/>
      <c r="B111"/>
      <c r="C111" s="13"/>
      <c r="D111" s="13"/>
    </row>
    <row r="112" spans="1:4">
      <c r="A112"/>
      <c r="B112"/>
      <c r="C112" s="13"/>
      <c r="D112" s="13"/>
    </row>
    <row r="113" spans="1:4">
      <c r="A113"/>
      <c r="B113"/>
      <c r="C113" s="13"/>
      <c r="D113" s="13"/>
    </row>
    <row r="114" spans="1:4">
      <c r="A114"/>
      <c r="B114"/>
      <c r="C114" s="13"/>
      <c r="D114" s="13"/>
    </row>
    <row r="115" spans="1:4">
      <c r="A115"/>
      <c r="B115"/>
      <c r="C115" s="13"/>
      <c r="D115" s="13"/>
    </row>
    <row r="116" spans="1:4">
      <c r="A116"/>
      <c r="B116"/>
      <c r="C116" s="13"/>
      <c r="D116" s="13"/>
    </row>
    <row r="117" spans="1:4">
      <c r="A117"/>
      <c r="B117"/>
      <c r="C117" s="13"/>
      <c r="D117" s="13"/>
    </row>
    <row r="118" spans="1:4">
      <c r="A118"/>
      <c r="B118"/>
      <c r="C118" s="13"/>
      <c r="D118" s="13"/>
    </row>
    <row r="119" spans="1:4">
      <c r="A119"/>
      <c r="B119"/>
      <c r="C119" s="13"/>
      <c r="D119" s="13"/>
    </row>
    <row r="120" spans="1:4">
      <c r="A120"/>
      <c r="B120"/>
      <c r="C120" s="13"/>
      <c r="D120" s="13"/>
    </row>
    <row r="121" spans="1:4">
      <c r="A121"/>
      <c r="B121"/>
      <c r="C121" s="13"/>
      <c r="D121" s="13"/>
    </row>
    <row r="122" spans="1:4">
      <c r="A122"/>
      <c r="B122"/>
      <c r="C122" s="13"/>
      <c r="D122" s="13"/>
    </row>
    <row r="123" spans="1:4">
      <c r="A123"/>
      <c r="B123"/>
      <c r="C123" s="13"/>
      <c r="D123" s="13"/>
    </row>
    <row r="124" spans="1:4">
      <c r="A124"/>
      <c r="B124"/>
      <c r="C124" s="13"/>
      <c r="D124" s="13"/>
    </row>
    <row r="125" spans="1:4">
      <c r="A125"/>
      <c r="B125"/>
      <c r="C125" s="13"/>
      <c r="D125" s="13"/>
    </row>
    <row r="126" spans="1:4">
      <c r="A126"/>
      <c r="B126"/>
      <c r="C126" s="13"/>
      <c r="D126" s="13"/>
    </row>
    <row r="127" spans="1:4">
      <c r="A127"/>
      <c r="B127"/>
      <c r="C127" s="13"/>
      <c r="D127" s="13"/>
    </row>
    <row r="128" spans="1:4">
      <c r="A128"/>
      <c r="B128"/>
      <c r="C128" s="13"/>
      <c r="D128" s="13"/>
    </row>
    <row r="129" spans="1:4">
      <c r="A129"/>
      <c r="B129"/>
      <c r="C129" s="13"/>
      <c r="D129" s="13"/>
    </row>
    <row r="130" spans="1:4">
      <c r="A130"/>
      <c r="B130"/>
      <c r="C130" s="13"/>
      <c r="D130" s="13"/>
    </row>
    <row r="131" spans="1:4">
      <c r="A131"/>
      <c r="B131"/>
      <c r="C131" s="13"/>
      <c r="D131" s="13"/>
    </row>
    <row r="132" spans="1:4">
      <c r="A132"/>
      <c r="B132"/>
      <c r="C132" s="13"/>
      <c r="D132" s="13"/>
    </row>
    <row r="133" spans="1:4">
      <c r="A133"/>
      <c r="B133"/>
      <c r="C133" s="13"/>
      <c r="D133" s="13"/>
    </row>
    <row r="134" spans="1:4">
      <c r="A134"/>
      <c r="B134"/>
      <c r="C134" s="13"/>
      <c r="D134" s="13"/>
    </row>
    <row r="135" spans="1:4">
      <c r="A135"/>
      <c r="B135"/>
      <c r="C135" s="13"/>
      <c r="D135" s="13"/>
    </row>
    <row r="136" spans="1:4">
      <c r="A136"/>
      <c r="B136"/>
      <c r="C136" s="13"/>
      <c r="D136" s="13"/>
    </row>
    <row r="137" spans="1:4">
      <c r="A137"/>
      <c r="B137"/>
      <c r="C137" s="13"/>
      <c r="D137" s="13"/>
    </row>
    <row r="138" spans="1:4">
      <c r="A138"/>
      <c r="B138"/>
      <c r="C138" s="13"/>
      <c r="D138" s="13"/>
    </row>
    <row r="139" spans="1:4">
      <c r="A139"/>
      <c r="B139"/>
      <c r="C139" s="13"/>
      <c r="D139" s="13"/>
    </row>
    <row r="140" spans="1:4">
      <c r="A140"/>
      <c r="B140"/>
      <c r="C140" s="13"/>
      <c r="D140" s="13"/>
    </row>
    <row r="141" spans="1:4">
      <c r="A141"/>
      <c r="B141"/>
      <c r="C141" s="13"/>
      <c r="D141" s="13"/>
    </row>
    <row r="142" spans="1:4">
      <c r="A142"/>
      <c r="B142"/>
      <c r="C142" s="13"/>
      <c r="D142" s="13"/>
    </row>
    <row r="143" spans="1:4">
      <c r="A143"/>
      <c r="B143"/>
      <c r="C143" s="13"/>
      <c r="D143" s="13"/>
    </row>
    <row r="144" spans="1:4">
      <c r="A144"/>
      <c r="B144"/>
      <c r="C144" s="13"/>
      <c r="D144" s="13"/>
    </row>
    <row r="145" spans="1:4">
      <c r="A145"/>
      <c r="B145"/>
      <c r="C145" s="13"/>
      <c r="D145" s="13"/>
    </row>
    <row r="146" spans="1:4">
      <c r="A146"/>
      <c r="B146"/>
      <c r="C146" s="13"/>
      <c r="D146" s="13"/>
    </row>
    <row r="147" spans="1:4">
      <c r="A147"/>
      <c r="B147"/>
      <c r="C147" s="13"/>
      <c r="D147" s="13"/>
    </row>
    <row r="148" spans="1:4">
      <c r="A148"/>
      <c r="B148"/>
      <c r="C148" s="13"/>
      <c r="D148" s="13"/>
    </row>
    <row r="149" spans="1:4">
      <c r="A149"/>
      <c r="B149"/>
      <c r="C149" s="13"/>
      <c r="D149" s="13"/>
    </row>
    <row r="150" spans="1:4">
      <c r="A150"/>
      <c r="B150"/>
      <c r="C150" s="13"/>
      <c r="D150" s="13"/>
    </row>
    <row r="151" spans="1:4">
      <c r="A151"/>
      <c r="B151"/>
      <c r="C151" s="13"/>
      <c r="D151" s="13"/>
    </row>
    <row r="152" spans="1:4">
      <c r="A152"/>
      <c r="B152"/>
      <c r="C152" s="13"/>
      <c r="D152" s="13"/>
    </row>
    <row r="153" spans="1:4">
      <c r="A153"/>
      <c r="B153"/>
      <c r="C153" s="13"/>
      <c r="D153" s="13"/>
    </row>
    <row r="154" spans="1:4">
      <c r="A154"/>
      <c r="B154"/>
      <c r="C154" s="13"/>
      <c r="D154" s="13"/>
    </row>
    <row r="155" spans="1:4">
      <c r="A155"/>
      <c r="B155"/>
      <c r="C155" s="13"/>
      <c r="D155" s="13"/>
    </row>
    <row r="156" spans="1:4">
      <c r="A156"/>
      <c r="B156"/>
      <c r="C156" s="13"/>
      <c r="D156" s="13"/>
    </row>
    <row r="157" spans="1:4">
      <c r="A157"/>
      <c r="B157"/>
      <c r="C157" s="13"/>
      <c r="D157" s="13"/>
    </row>
    <row r="158" spans="1:4">
      <c r="A158"/>
      <c r="B158"/>
      <c r="C158" s="13"/>
      <c r="D158" s="13"/>
    </row>
    <row r="159" spans="1:4">
      <c r="A159"/>
      <c r="B159"/>
      <c r="C159" s="13"/>
      <c r="D159" s="13"/>
    </row>
    <row r="160" spans="1:4">
      <c r="A160"/>
      <c r="B160"/>
      <c r="C160" s="13"/>
      <c r="D160" s="13"/>
    </row>
    <row r="161" spans="1:4">
      <c r="A161"/>
      <c r="B161"/>
      <c r="C161" s="13"/>
      <c r="D161" s="13"/>
    </row>
    <row r="162" spans="1:4">
      <c r="A162"/>
      <c r="B162"/>
      <c r="C162" s="13"/>
      <c r="D162" s="13"/>
    </row>
    <row r="163" spans="1:4">
      <c r="A163"/>
      <c r="B163"/>
      <c r="C163" s="13"/>
      <c r="D163" s="13"/>
    </row>
    <row r="164" spans="1:4">
      <c r="A164"/>
      <c r="B164"/>
      <c r="C164" s="13"/>
      <c r="D164" s="13"/>
    </row>
    <row r="165" spans="1:4">
      <c r="A165"/>
      <c r="B165"/>
      <c r="C165" s="13"/>
      <c r="D165" s="13"/>
    </row>
    <row r="166" spans="1:4">
      <c r="A166"/>
      <c r="B166"/>
      <c r="C166" s="13"/>
      <c r="D166" s="13"/>
    </row>
    <row r="167" spans="1:4">
      <c r="A167"/>
      <c r="B167"/>
      <c r="C167" s="13"/>
      <c r="D167" s="13"/>
    </row>
    <row r="168" spans="1:4">
      <c r="A168"/>
      <c r="B168"/>
      <c r="C168" s="13"/>
      <c r="D168" s="13"/>
    </row>
    <row r="169" spans="1:4">
      <c r="A169"/>
      <c r="B169"/>
      <c r="C169" s="13"/>
      <c r="D169" s="13"/>
    </row>
    <row r="170" spans="1:4">
      <c r="A170"/>
      <c r="B170"/>
      <c r="C170" s="13"/>
      <c r="D170" s="13"/>
    </row>
    <row r="171" spans="1:4">
      <c r="A171"/>
      <c r="B171"/>
      <c r="C171" s="13"/>
      <c r="D171" s="13"/>
    </row>
    <row r="172" spans="1:4">
      <c r="A172"/>
      <c r="B172"/>
      <c r="C172" s="13"/>
      <c r="D172" s="13"/>
    </row>
    <row r="173" spans="1:4">
      <c r="A173"/>
      <c r="B173"/>
      <c r="C173" s="13"/>
      <c r="D173" s="13"/>
    </row>
    <row r="174" spans="1:4">
      <c r="A174"/>
      <c r="B174"/>
      <c r="C174" s="13"/>
      <c r="D174" s="13"/>
    </row>
    <row r="175" spans="1:4">
      <c r="A175"/>
      <c r="B175"/>
      <c r="C175" s="13"/>
      <c r="D175" s="13"/>
    </row>
    <row r="176" spans="1:4">
      <c r="A176"/>
      <c r="B176"/>
      <c r="C176" s="13"/>
      <c r="D176" s="13"/>
    </row>
    <row r="177" spans="1:4">
      <c r="A177"/>
      <c r="B177"/>
      <c r="C177" s="13"/>
      <c r="D177" s="13"/>
    </row>
    <row r="178" spans="1:4">
      <c r="A178"/>
      <c r="B178"/>
      <c r="C178" s="13"/>
      <c r="D178" s="13"/>
    </row>
    <row r="179" spans="1:4">
      <c r="A179"/>
      <c r="B179"/>
      <c r="C179" s="13"/>
      <c r="D179" s="13"/>
    </row>
    <row r="180" spans="1:4">
      <c r="A180"/>
      <c r="B180"/>
      <c r="C180" s="13"/>
      <c r="D180" s="13"/>
    </row>
    <row r="181" spans="1:4">
      <c r="A181"/>
      <c r="B181"/>
      <c r="C181" s="13"/>
      <c r="D181" s="13"/>
    </row>
    <row r="182" spans="1:4">
      <c r="A182"/>
      <c r="B182"/>
      <c r="C182" s="13"/>
      <c r="D182" s="13"/>
    </row>
    <row r="183" spans="1:4">
      <c r="A183"/>
      <c r="B183"/>
      <c r="C183" s="13"/>
      <c r="D183" s="13"/>
    </row>
    <row r="184" spans="1:4">
      <c r="A184"/>
      <c r="B184"/>
      <c r="C184" s="13"/>
      <c r="D184" s="13"/>
    </row>
    <row r="185" spans="1:4">
      <c r="A185"/>
      <c r="B185"/>
      <c r="C185" s="13"/>
      <c r="D185" s="13"/>
    </row>
    <row r="186" spans="1:4">
      <c r="A186"/>
      <c r="B186"/>
      <c r="C186" s="13"/>
      <c r="D186" s="13"/>
    </row>
    <row r="187" spans="1:4">
      <c r="A187"/>
      <c r="B187"/>
      <c r="C187" s="13"/>
      <c r="D187" s="13"/>
    </row>
    <row r="188" spans="1:4">
      <c r="A188"/>
      <c r="B188"/>
      <c r="C188" s="13"/>
      <c r="D188" s="13"/>
    </row>
    <row r="189" spans="1:4">
      <c r="A189"/>
      <c r="B189"/>
      <c r="C189" s="13"/>
      <c r="D189" s="13"/>
    </row>
    <row r="190" spans="1:4">
      <c r="A190"/>
      <c r="B190"/>
      <c r="C190" s="13"/>
      <c r="D190" s="13"/>
    </row>
    <row r="191" spans="1:4">
      <c r="A191"/>
      <c r="B191"/>
      <c r="C191" s="13"/>
      <c r="D191" s="13"/>
    </row>
    <row r="192" spans="1:4">
      <c r="A192"/>
      <c r="B192"/>
      <c r="C192" s="13"/>
      <c r="D192" s="13"/>
    </row>
    <row r="193" spans="1:4">
      <c r="A193"/>
      <c r="B193"/>
      <c r="C193" s="13"/>
      <c r="D193" s="13"/>
    </row>
    <row r="194" spans="1:4">
      <c r="A194"/>
      <c r="B194"/>
      <c r="C194" s="13"/>
      <c r="D194" s="13"/>
    </row>
    <row r="195" spans="1:4">
      <c r="A195"/>
      <c r="B195"/>
      <c r="C195" s="13"/>
      <c r="D195" s="13"/>
    </row>
    <row r="196" spans="1:4">
      <c r="A196"/>
      <c r="B196"/>
      <c r="C196" s="13"/>
      <c r="D196" s="13"/>
    </row>
    <row r="197" spans="1:4">
      <c r="A197"/>
      <c r="B197"/>
      <c r="C197" s="13"/>
      <c r="D197" s="13"/>
    </row>
    <row r="198" spans="1:4">
      <c r="A198"/>
      <c r="B198"/>
      <c r="C198" s="13"/>
      <c r="D198" s="13"/>
    </row>
    <row r="199" spans="1:4">
      <c r="A199"/>
      <c r="B199"/>
      <c r="C199" s="13"/>
      <c r="D199" s="13"/>
    </row>
    <row r="200" spans="1:4">
      <c r="A200"/>
      <c r="B200"/>
      <c r="C200" s="13"/>
      <c r="D200" s="13"/>
    </row>
    <row r="201" spans="1:4">
      <c r="A201"/>
      <c r="B201"/>
      <c r="C201" s="13"/>
      <c r="D201" s="13"/>
    </row>
    <row r="202" spans="1:4">
      <c r="A202"/>
      <c r="B202"/>
      <c r="C202" s="13"/>
      <c r="D202" s="13"/>
    </row>
    <row r="203" spans="1:4">
      <c r="A203"/>
      <c r="B203"/>
      <c r="C203" s="13"/>
      <c r="D203" s="13"/>
    </row>
    <row r="204" spans="1:4">
      <c r="A204"/>
      <c r="B204"/>
      <c r="C204" s="13"/>
      <c r="D204" s="13"/>
    </row>
    <row r="205" spans="1:4">
      <c r="A205"/>
      <c r="B205"/>
      <c r="C205" s="13"/>
      <c r="D205" s="13"/>
    </row>
    <row r="206" spans="1:4">
      <c r="A206"/>
      <c r="B206"/>
      <c r="C206" s="13"/>
      <c r="D206" s="13"/>
    </row>
    <row r="207" spans="1:4">
      <c r="A207"/>
      <c r="B207"/>
      <c r="C207" s="13"/>
      <c r="D207" s="13"/>
    </row>
    <row r="208" spans="1:4">
      <c r="A208"/>
      <c r="B208"/>
      <c r="C208" s="13"/>
      <c r="D208" s="13"/>
    </row>
    <row r="209" spans="1:4">
      <c r="A209"/>
      <c r="B209"/>
      <c r="C209" s="13"/>
      <c r="D209" s="13"/>
    </row>
    <row r="210" spans="1:4">
      <c r="A210"/>
      <c r="B210"/>
      <c r="C210" s="13"/>
      <c r="D210" s="13"/>
    </row>
    <row r="211" spans="1:4">
      <c r="A211"/>
      <c r="B211"/>
      <c r="C211" s="13"/>
      <c r="D211" s="13"/>
    </row>
    <row r="212" spans="1:4">
      <c r="A212"/>
      <c r="B212"/>
      <c r="C212" s="13"/>
      <c r="D212" s="13"/>
    </row>
    <row r="213" spans="1:4">
      <c r="A213"/>
      <c r="B213"/>
      <c r="C213" s="13"/>
      <c r="D213" s="13"/>
    </row>
    <row r="214" spans="1:4">
      <c r="A214"/>
      <c r="B214"/>
      <c r="C214" s="13"/>
      <c r="D214" s="13"/>
    </row>
    <row r="215" spans="1:4">
      <c r="A215"/>
      <c r="B215"/>
      <c r="C215" s="13"/>
      <c r="D215" s="13"/>
    </row>
    <row r="216" spans="1:4">
      <c r="A216"/>
      <c r="B216"/>
      <c r="C216" s="13"/>
      <c r="D216" s="13"/>
    </row>
    <row r="217" spans="1:4">
      <c r="A217"/>
      <c r="B217"/>
      <c r="C217" s="13"/>
      <c r="D217" s="13"/>
    </row>
    <row r="218" spans="1:4">
      <c r="A218"/>
      <c r="B218"/>
      <c r="C218" s="13"/>
      <c r="D218" s="13"/>
    </row>
    <row r="219" spans="1:4">
      <c r="A219"/>
      <c r="B219"/>
      <c r="C219" s="13"/>
      <c r="D219" s="13"/>
    </row>
    <row r="220" spans="1:4">
      <c r="A220"/>
      <c r="B220"/>
      <c r="C220" s="13"/>
      <c r="D220" s="13"/>
    </row>
    <row r="221" spans="1:4">
      <c r="A221"/>
      <c r="B221"/>
      <c r="C221" s="13"/>
      <c r="D221" s="13"/>
    </row>
    <row r="222" spans="1:4">
      <c r="A222"/>
      <c r="B222"/>
      <c r="C222" s="13"/>
      <c r="D222" s="13"/>
    </row>
    <row r="223" spans="1:4">
      <c r="A223"/>
      <c r="B223"/>
      <c r="C223" s="13"/>
      <c r="D223" s="13"/>
    </row>
    <row r="224" spans="1:4">
      <c r="A224"/>
      <c r="B224"/>
      <c r="C224" s="13"/>
      <c r="D224" s="13"/>
    </row>
    <row r="225" spans="1:4">
      <c r="A225"/>
      <c r="B225"/>
      <c r="C225" s="13"/>
      <c r="D225" s="13"/>
    </row>
    <row r="226" spans="1:4">
      <c r="A226"/>
      <c r="B226"/>
      <c r="C226" s="13"/>
      <c r="D226" s="13"/>
    </row>
    <row r="227" spans="1:4">
      <c r="A227"/>
      <c r="B227"/>
      <c r="C227" s="13"/>
      <c r="D227" s="13"/>
    </row>
    <row r="228" spans="1:4">
      <c r="A228"/>
      <c r="B228"/>
      <c r="C228" s="13"/>
      <c r="D228" s="13"/>
    </row>
    <row r="229" spans="1:4">
      <c r="A229"/>
      <c r="B229"/>
      <c r="C229" s="13"/>
      <c r="D229" s="13"/>
    </row>
    <row r="230" spans="1:4">
      <c r="A230"/>
      <c r="B230"/>
      <c r="C230" s="13"/>
      <c r="D230" s="13"/>
    </row>
    <row r="231" spans="1:4">
      <c r="A231"/>
      <c r="B231"/>
      <c r="C231" s="13"/>
      <c r="D231" s="13"/>
    </row>
    <row r="232" spans="1:4">
      <c r="A232"/>
      <c r="B232"/>
      <c r="C232" s="13"/>
      <c r="D232" s="13"/>
    </row>
    <row r="233" spans="1:4">
      <c r="A233"/>
      <c r="B233"/>
      <c r="C233" s="13"/>
      <c r="D233" s="13"/>
    </row>
    <row r="234" spans="1:4">
      <c r="A234"/>
      <c r="B234"/>
      <c r="C234" s="13"/>
      <c r="D234" s="13"/>
    </row>
    <row r="235" spans="1:4">
      <c r="A235"/>
      <c r="B235"/>
      <c r="C235" s="13"/>
      <c r="D235" s="13"/>
    </row>
    <row r="236" spans="1:4">
      <c r="A236"/>
      <c r="B236"/>
      <c r="C236" s="13"/>
      <c r="D236" s="13"/>
    </row>
    <row r="237" spans="1:4">
      <c r="A237"/>
      <c r="B237"/>
      <c r="C237" s="13"/>
      <c r="D237" s="13"/>
    </row>
    <row r="238" spans="1:4">
      <c r="A238"/>
      <c r="B238"/>
      <c r="C238" s="13"/>
      <c r="D238" s="13"/>
    </row>
    <row r="239" spans="1:4">
      <c r="A239"/>
      <c r="B239"/>
      <c r="C239" s="13"/>
      <c r="D239" s="13"/>
    </row>
    <row r="240" spans="1:4">
      <c r="A240"/>
      <c r="B240"/>
      <c r="C240" s="13"/>
      <c r="D240" s="13"/>
    </row>
    <row r="241" spans="1:4">
      <c r="A241"/>
      <c r="B241"/>
      <c r="C241" s="13"/>
      <c r="D241" s="13"/>
    </row>
    <row r="242" spans="1:4">
      <c r="A242"/>
      <c r="B242"/>
      <c r="C242" s="13"/>
      <c r="D242" s="13"/>
    </row>
    <row r="243" spans="1:4">
      <c r="A243"/>
      <c r="B243"/>
      <c r="C243" s="13"/>
      <c r="D243" s="13"/>
    </row>
    <row r="244" spans="1:4">
      <c r="A244"/>
      <c r="B244"/>
      <c r="C244" s="13"/>
      <c r="D244" s="13"/>
    </row>
    <row r="245" spans="1:4">
      <c r="A245"/>
      <c r="B245"/>
      <c r="C245" s="13"/>
      <c r="D245" s="13"/>
    </row>
    <row r="246" spans="1:4">
      <c r="A246"/>
      <c r="B246"/>
      <c r="C246" s="13"/>
      <c r="D246" s="13"/>
    </row>
    <row r="247" spans="1:4">
      <c r="A247"/>
      <c r="B247"/>
      <c r="C247" s="13"/>
      <c r="D247" s="13"/>
    </row>
    <row r="248" spans="1:4">
      <c r="A248"/>
      <c r="B248"/>
      <c r="C248" s="13"/>
      <c r="D248" s="13"/>
    </row>
    <row r="249" spans="1:4">
      <c r="A249"/>
      <c r="B249"/>
      <c r="C249" s="13"/>
      <c r="D249" s="13"/>
    </row>
    <row r="250" spans="1:4">
      <c r="A250"/>
      <c r="B250"/>
      <c r="C250" s="13"/>
      <c r="D250" s="13"/>
    </row>
    <row r="251" spans="1:4">
      <c r="A251"/>
      <c r="B251"/>
      <c r="C251" s="13"/>
      <c r="D251" s="13"/>
    </row>
    <row r="252" spans="1:4">
      <c r="A252"/>
      <c r="B252"/>
      <c r="C252" s="13"/>
      <c r="D252" s="13"/>
    </row>
    <row r="253" spans="1:4">
      <c r="A253"/>
      <c r="B253"/>
      <c r="C253" s="13"/>
      <c r="D253" s="13"/>
    </row>
    <row r="254" spans="1:4">
      <c r="A254"/>
      <c r="B254"/>
      <c r="C254" s="13"/>
      <c r="D254" s="13"/>
    </row>
    <row r="255" spans="1:4">
      <c r="A255"/>
      <c r="B255"/>
      <c r="C255" s="13"/>
      <c r="D255" s="13"/>
    </row>
    <row r="256" spans="1:4">
      <c r="A256"/>
      <c r="B256"/>
      <c r="C256" s="13"/>
      <c r="D256" s="13"/>
    </row>
    <row r="257" spans="1:4">
      <c r="A257"/>
      <c r="B257"/>
      <c r="C257" s="13"/>
      <c r="D257" s="13"/>
    </row>
    <row r="258" spans="1:4">
      <c r="A258"/>
      <c r="B258"/>
      <c r="C258" s="13"/>
      <c r="D258" s="13"/>
    </row>
    <row r="259" spans="1:4">
      <c r="A259"/>
      <c r="B259"/>
      <c r="C259" s="13"/>
      <c r="D259" s="13"/>
    </row>
    <row r="260" spans="1:4">
      <c r="A260"/>
      <c r="B260"/>
      <c r="C260" s="13"/>
      <c r="D260" s="13"/>
    </row>
    <row r="261" spans="1:4">
      <c r="A261"/>
      <c r="B261"/>
      <c r="C261" s="13"/>
      <c r="D261" s="13"/>
    </row>
    <row r="262" spans="1:4">
      <c r="A262"/>
      <c r="B262"/>
      <c r="C262" s="13"/>
      <c r="D262" s="13"/>
    </row>
    <row r="263" spans="1:4">
      <c r="A263"/>
      <c r="B263"/>
      <c r="C263" s="13"/>
      <c r="D263" s="13"/>
    </row>
    <row r="264" spans="1:4">
      <c r="A264"/>
      <c r="B264"/>
      <c r="C264" s="13"/>
      <c r="D264" s="13"/>
    </row>
    <row r="265" spans="1:4">
      <c r="A265"/>
      <c r="B265"/>
      <c r="C265" s="13"/>
      <c r="D265" s="13"/>
    </row>
    <row r="266" spans="1:4">
      <c r="A266"/>
      <c r="B266"/>
      <c r="C266" s="13"/>
      <c r="D266" s="13"/>
    </row>
    <row r="267" spans="1:4">
      <c r="A267"/>
      <c r="B267"/>
      <c r="C267" s="13"/>
      <c r="D267" s="13"/>
    </row>
    <row r="268" spans="1:4">
      <c r="A268"/>
      <c r="B268"/>
      <c r="C268" s="13"/>
      <c r="D268" s="13"/>
    </row>
    <row r="269" spans="1:4">
      <c r="A269"/>
      <c r="B269"/>
      <c r="C269" s="13"/>
      <c r="D269" s="13"/>
    </row>
    <row r="270" spans="1:4">
      <c r="A270"/>
      <c r="B270"/>
      <c r="C270" s="13"/>
      <c r="D270" s="13"/>
    </row>
    <row r="271" spans="1:4">
      <c r="A271"/>
      <c r="B271"/>
      <c r="C271" s="13"/>
      <c r="D271" s="13"/>
    </row>
    <row r="272" spans="1:4">
      <c r="A272"/>
      <c r="B272"/>
      <c r="C272" s="13"/>
      <c r="D272" s="13"/>
    </row>
    <row r="273" spans="1:4">
      <c r="A273"/>
      <c r="B273"/>
      <c r="C273" s="13"/>
      <c r="D273" s="13"/>
    </row>
    <row r="274" spans="1:4">
      <c r="A274"/>
      <c r="B274"/>
      <c r="C274" s="13"/>
      <c r="D274" s="13"/>
    </row>
    <row r="275" spans="1:4">
      <c r="A275"/>
      <c r="B275"/>
      <c r="C275" s="13"/>
      <c r="D275" s="13"/>
    </row>
    <row r="276" spans="1:4">
      <c r="A276"/>
      <c r="B276"/>
      <c r="C276" s="13"/>
      <c r="D276" s="13"/>
    </row>
    <row r="277" spans="1:4">
      <c r="A277"/>
      <c r="B277"/>
      <c r="C277" s="13"/>
      <c r="D277" s="13"/>
    </row>
    <row r="278" spans="1:4">
      <c r="A278"/>
      <c r="B278"/>
      <c r="C278" s="13"/>
      <c r="D278" s="13"/>
    </row>
    <row r="279" spans="1:4">
      <c r="A279"/>
      <c r="B279"/>
      <c r="C279" s="13"/>
      <c r="D279" s="13"/>
    </row>
    <row r="280" spans="1:4">
      <c r="A280"/>
      <c r="B280"/>
      <c r="C280" s="13"/>
      <c r="D280" s="13"/>
    </row>
    <row r="281" spans="1:4">
      <c r="A281"/>
      <c r="B281"/>
      <c r="C281" s="13"/>
      <c r="D281" s="13"/>
    </row>
    <row r="282" spans="1:4">
      <c r="A282"/>
      <c r="B282"/>
      <c r="C282" s="13"/>
      <c r="D282" s="13"/>
    </row>
    <row r="283" spans="1:4">
      <c r="A283"/>
      <c r="B283"/>
      <c r="C283" s="13"/>
      <c r="D283" s="13"/>
    </row>
    <row r="284" spans="1:4">
      <c r="A284"/>
      <c r="B284"/>
      <c r="C284" s="13"/>
      <c r="D284" s="13"/>
    </row>
    <row r="285" spans="1:4">
      <c r="A285"/>
      <c r="B285"/>
      <c r="C285" s="13"/>
      <c r="D285" s="13"/>
    </row>
    <row r="286" spans="1:4">
      <c r="A286"/>
      <c r="B286"/>
      <c r="C286" s="13"/>
      <c r="D286" s="13"/>
    </row>
    <row r="287" spans="1:4">
      <c r="A287"/>
      <c r="B287"/>
      <c r="C287" s="13"/>
      <c r="D287" s="13"/>
    </row>
    <row r="288" spans="1:4">
      <c r="A288"/>
      <c r="B288"/>
      <c r="C288" s="13"/>
      <c r="D288" s="13"/>
    </row>
    <row r="289" spans="1:4">
      <c r="A289"/>
      <c r="B289"/>
      <c r="C289" s="13"/>
      <c r="D289" s="13"/>
    </row>
    <row r="290" spans="1:4">
      <c r="A290"/>
      <c r="B290"/>
      <c r="C290" s="13"/>
      <c r="D290" s="13"/>
    </row>
    <row r="291" spans="1:4">
      <c r="A291"/>
      <c r="B291"/>
      <c r="C291" s="13"/>
      <c r="D291" s="13"/>
    </row>
    <row r="292" spans="1:4">
      <c r="A292"/>
      <c r="B292"/>
      <c r="C292" s="13"/>
      <c r="D292" s="13"/>
    </row>
    <row r="293" spans="1:4">
      <c r="A293"/>
      <c r="B293"/>
      <c r="C293" s="13"/>
      <c r="D293" s="13"/>
    </row>
    <row r="294" spans="1:4">
      <c r="A294"/>
      <c r="B294"/>
      <c r="C294" s="13"/>
      <c r="D294" s="13"/>
    </row>
    <row r="295" spans="1:4">
      <c r="A295"/>
      <c r="B295"/>
      <c r="C295" s="13"/>
      <c r="D295" s="13"/>
    </row>
    <row r="296" spans="1:4">
      <c r="A296"/>
      <c r="B296"/>
      <c r="C296" s="13"/>
      <c r="D296" s="13"/>
    </row>
    <row r="297" spans="1:4">
      <c r="A297"/>
      <c r="B297"/>
      <c r="C297" s="13"/>
      <c r="D297" s="13"/>
    </row>
    <row r="298" spans="1:4">
      <c r="A298"/>
      <c r="B298"/>
      <c r="C298" s="13"/>
      <c r="D298" s="13"/>
    </row>
    <row r="299" spans="1:4">
      <c r="A299"/>
      <c r="B299"/>
      <c r="C299" s="13"/>
      <c r="D299" s="13"/>
    </row>
    <row r="300" spans="1:4">
      <c r="A300"/>
      <c r="B300"/>
      <c r="C300" s="13"/>
      <c r="D300" s="13"/>
    </row>
    <row r="301" spans="1:4">
      <c r="A301"/>
      <c r="B301"/>
      <c r="C301" s="13"/>
      <c r="D301" s="13"/>
    </row>
    <row r="302" spans="1:4">
      <c r="A302"/>
      <c r="B302"/>
      <c r="C302" s="13"/>
      <c r="D302" s="13"/>
    </row>
    <row r="303" spans="1:4">
      <c r="A303"/>
      <c r="B303"/>
      <c r="C303" s="13"/>
      <c r="D303" s="13"/>
    </row>
    <row r="304" spans="1:4">
      <c r="A304"/>
      <c r="B304"/>
      <c r="C304" s="13"/>
      <c r="D304" s="13"/>
    </row>
    <row r="305" spans="1:4">
      <c r="A305"/>
      <c r="B305"/>
      <c r="C305" s="13"/>
      <c r="D305" s="13"/>
    </row>
    <row r="306" spans="1:4">
      <c r="A306"/>
      <c r="B306"/>
      <c r="C306" s="13"/>
      <c r="D306" s="13"/>
    </row>
    <row r="307" spans="1:4">
      <c r="A307"/>
      <c r="B307"/>
      <c r="C307" s="13"/>
      <c r="D307" s="13"/>
    </row>
    <row r="308" spans="1:4">
      <c r="A308"/>
      <c r="B308"/>
      <c r="C308" s="13"/>
      <c r="D308" s="13"/>
    </row>
    <row r="309" spans="1:4">
      <c r="A309"/>
      <c r="B309"/>
      <c r="C309" s="13"/>
      <c r="D309" s="13"/>
    </row>
    <row r="310" spans="1:4">
      <c r="A310"/>
      <c r="B310"/>
      <c r="C310" s="13"/>
      <c r="D310" s="13"/>
    </row>
    <row r="311" spans="1:4">
      <c r="A311"/>
      <c r="B311"/>
      <c r="C311" s="13"/>
      <c r="D311" s="13"/>
    </row>
    <row r="312" spans="1:4">
      <c r="A312"/>
      <c r="B312"/>
      <c r="C312" s="13"/>
      <c r="D312" s="13"/>
    </row>
    <row r="313" spans="1:4">
      <c r="A313"/>
      <c r="B313"/>
      <c r="C313" s="13"/>
      <c r="D313" s="13"/>
    </row>
    <row r="314" spans="1:4">
      <c r="A314"/>
      <c r="B314"/>
      <c r="C314" s="13"/>
      <c r="D314" s="13"/>
    </row>
    <row r="315" spans="1:4">
      <c r="A315"/>
      <c r="B315"/>
      <c r="C315" s="13"/>
      <c r="D315" s="13"/>
    </row>
    <row r="316" spans="1:4">
      <c r="A316"/>
      <c r="B316"/>
      <c r="C316" s="13"/>
      <c r="D316" s="13"/>
    </row>
    <row r="317" spans="1:4">
      <c r="A317"/>
      <c r="B317"/>
      <c r="C317" s="13"/>
      <c r="D317" s="13"/>
    </row>
    <row r="318" spans="1:4">
      <c r="A318"/>
      <c r="B318"/>
      <c r="C318" s="13"/>
      <c r="D318" s="13"/>
    </row>
    <row r="319" spans="1:4">
      <c r="A319"/>
      <c r="B319"/>
      <c r="C319" s="13"/>
      <c r="D319" s="13"/>
    </row>
    <row r="320" spans="1:4">
      <c r="A320"/>
      <c r="B320"/>
      <c r="C320" s="13"/>
      <c r="D320" s="13"/>
    </row>
    <row r="321" spans="1:4">
      <c r="A321"/>
      <c r="B321"/>
      <c r="C321" s="13"/>
      <c r="D321" s="13"/>
    </row>
    <row r="322" spans="1:4">
      <c r="A322"/>
      <c r="B322"/>
      <c r="C322" s="13"/>
      <c r="D322" s="13"/>
    </row>
    <row r="323" spans="1:4">
      <c r="A323"/>
      <c r="B323"/>
      <c r="C323" s="13"/>
      <c r="D323" s="13"/>
    </row>
    <row r="324" spans="1:4">
      <c r="A324"/>
      <c r="B324"/>
      <c r="C324" s="13"/>
      <c r="D324" s="13"/>
    </row>
    <row r="325" spans="1:4">
      <c r="A325"/>
      <c r="B325"/>
      <c r="C325" s="13"/>
      <c r="D325" s="13"/>
    </row>
    <row r="326" spans="1:4">
      <c r="A326"/>
      <c r="B326"/>
      <c r="C326" s="13"/>
      <c r="D326" s="13"/>
    </row>
    <row r="327" spans="1:4">
      <c r="A327"/>
      <c r="B327"/>
      <c r="C327" s="13"/>
      <c r="D327" s="13"/>
    </row>
    <row r="328" spans="1:4">
      <c r="A328"/>
      <c r="B328"/>
      <c r="C328" s="13"/>
      <c r="D328" s="13"/>
    </row>
    <row r="329" spans="1:4">
      <c r="A329"/>
      <c r="B329"/>
      <c r="C329" s="13"/>
      <c r="D329" s="13"/>
    </row>
    <row r="330" spans="1:4">
      <c r="A330"/>
      <c r="B330"/>
      <c r="C330" s="13"/>
      <c r="D330" s="13"/>
    </row>
    <row r="331" spans="1:4">
      <c r="A331"/>
      <c r="B331"/>
      <c r="C331" s="13"/>
      <c r="D331" s="13"/>
    </row>
    <row r="332" spans="1:4">
      <c r="A332"/>
      <c r="B332"/>
      <c r="C332" s="13"/>
      <c r="D332" s="13"/>
    </row>
    <row r="333" spans="1:4">
      <c r="A333"/>
      <c r="B333"/>
      <c r="C333" s="13"/>
      <c r="D333" s="13"/>
    </row>
    <row r="334" spans="1:4">
      <c r="A334"/>
      <c r="B334"/>
      <c r="C334" s="13"/>
      <c r="D334" s="13"/>
    </row>
    <row r="335" spans="1:4">
      <c r="A335"/>
      <c r="B335"/>
      <c r="C335" s="13"/>
      <c r="D335" s="13"/>
    </row>
    <row r="336" spans="1:4">
      <c r="A336"/>
      <c r="B336"/>
      <c r="C336" s="13"/>
      <c r="D336" s="13"/>
    </row>
    <row r="337" spans="1:4">
      <c r="A337"/>
      <c r="B337"/>
      <c r="C337" s="13"/>
      <c r="D337" s="13"/>
    </row>
    <row r="338" spans="1:4">
      <c r="A338"/>
      <c r="B338"/>
      <c r="C338" s="13"/>
      <c r="D338" s="13"/>
    </row>
    <row r="339" spans="1:4">
      <c r="A339"/>
      <c r="B339"/>
      <c r="C339" s="13"/>
      <c r="D339" s="13"/>
    </row>
    <row r="340" spans="1:4">
      <c r="A340"/>
      <c r="B340"/>
      <c r="C340" s="13"/>
      <c r="D340" s="13"/>
    </row>
    <row r="341" spans="1:4">
      <c r="A341"/>
      <c r="B341"/>
      <c r="C341" s="13"/>
      <c r="D341" s="13"/>
    </row>
    <row r="342" spans="1:4">
      <c r="A342"/>
      <c r="B342"/>
      <c r="C342" s="13"/>
      <c r="D342" s="13"/>
    </row>
    <row r="343" spans="1:4">
      <c r="A343"/>
      <c r="B343"/>
      <c r="C343" s="13"/>
      <c r="D343" s="13"/>
    </row>
    <row r="344" spans="1:4">
      <c r="A344"/>
      <c r="B344"/>
      <c r="C344" s="13"/>
      <c r="D344" s="13"/>
    </row>
    <row r="345" spans="1:4">
      <c r="A345"/>
      <c r="B345"/>
      <c r="C345" s="13"/>
      <c r="D345" s="13"/>
    </row>
    <row r="346" spans="1:4">
      <c r="A346"/>
      <c r="B346"/>
      <c r="C346" s="13"/>
      <c r="D346" s="13"/>
    </row>
    <row r="347" spans="1:4">
      <c r="A347"/>
      <c r="B347"/>
      <c r="C347" s="13"/>
      <c r="D347" s="13"/>
    </row>
    <row r="348" spans="1:4">
      <c r="A348"/>
      <c r="B348"/>
      <c r="C348" s="13"/>
      <c r="D348" s="13"/>
    </row>
    <row r="349" spans="1:4">
      <c r="A349"/>
      <c r="B349"/>
      <c r="C349" s="13"/>
      <c r="D349" s="13"/>
    </row>
    <row r="350" spans="1:4">
      <c r="A350"/>
      <c r="B350"/>
      <c r="C350" s="13"/>
      <c r="D350" s="13"/>
    </row>
    <row r="351" spans="1:4">
      <c r="A351"/>
      <c r="B351"/>
      <c r="C351" s="13"/>
      <c r="D351" s="13"/>
    </row>
    <row r="352" spans="1:4">
      <c r="A352"/>
      <c r="B352"/>
      <c r="C352" s="13"/>
      <c r="D352" s="13"/>
    </row>
    <row r="353" spans="1:4">
      <c r="A353"/>
      <c r="B353"/>
      <c r="C353" s="13"/>
      <c r="D353" s="13"/>
    </row>
    <row r="354" spans="1:4">
      <c r="A354"/>
      <c r="B354"/>
      <c r="C354" s="13"/>
      <c r="D354" s="13"/>
    </row>
    <row r="355" spans="1:4">
      <c r="A355"/>
      <c r="B355"/>
      <c r="C355" s="13"/>
      <c r="D355" s="13"/>
    </row>
    <row r="356" spans="1:4">
      <c r="A356"/>
      <c r="B356"/>
      <c r="C356" s="13"/>
      <c r="D356" s="13"/>
    </row>
    <row r="357" spans="1:4">
      <c r="A357"/>
      <c r="B357"/>
      <c r="C357" s="13"/>
      <c r="D357" s="13"/>
    </row>
    <row r="358" spans="1:4">
      <c r="A358"/>
      <c r="B358"/>
      <c r="C358" s="13"/>
      <c r="D358" s="13"/>
    </row>
    <row r="359" spans="1:4">
      <c r="A359"/>
      <c r="B359"/>
      <c r="C359" s="13"/>
      <c r="D359" s="13"/>
    </row>
    <row r="360" spans="1:4">
      <c r="A360"/>
      <c r="B360"/>
      <c r="C360" s="13"/>
      <c r="D360" s="13"/>
    </row>
    <row r="361" spans="1:4">
      <c r="A361"/>
      <c r="B361"/>
      <c r="C361" s="13"/>
      <c r="D361" s="13"/>
    </row>
    <row r="362" spans="1:4">
      <c r="A362"/>
      <c r="B362"/>
      <c r="C362" s="13"/>
      <c r="D362" s="13"/>
    </row>
    <row r="363" spans="1:4">
      <c r="A363"/>
      <c r="B363"/>
      <c r="C363" s="13"/>
      <c r="D363" s="13"/>
    </row>
    <row r="364" spans="1:4">
      <c r="A364"/>
      <c r="B364"/>
      <c r="C364" s="13"/>
      <c r="D364" s="13"/>
    </row>
    <row r="365" spans="1:4">
      <c r="A365"/>
      <c r="B365"/>
      <c r="C365" s="13"/>
      <c r="D365" s="13"/>
    </row>
    <row r="366" spans="1:4">
      <c r="A366"/>
      <c r="B366"/>
      <c r="C366" s="13"/>
      <c r="D366" s="13"/>
    </row>
    <row r="367" spans="1:4">
      <c r="A367"/>
      <c r="B367"/>
      <c r="C367" s="13"/>
      <c r="D367" s="13"/>
    </row>
    <row r="368" spans="1:4">
      <c r="A368"/>
      <c r="B368"/>
      <c r="C368" s="13"/>
      <c r="D368" s="13"/>
    </row>
    <row r="369" spans="1:4">
      <c r="A369"/>
      <c r="B369"/>
      <c r="C369" s="13"/>
      <c r="D369" s="13"/>
    </row>
    <row r="370" spans="1:4">
      <c r="A370"/>
      <c r="B370"/>
      <c r="C370" s="13"/>
      <c r="D370" s="13"/>
    </row>
    <row r="371" spans="1:4">
      <c r="A371"/>
      <c r="B371"/>
      <c r="C371" s="13"/>
      <c r="D371" s="13"/>
    </row>
    <row r="372" spans="1:4">
      <c r="A372"/>
      <c r="B372"/>
      <c r="C372" s="13"/>
      <c r="D372" s="13"/>
    </row>
    <row r="373" spans="1:4">
      <c r="A373"/>
      <c r="B373"/>
      <c r="C373" s="13"/>
      <c r="D373" s="13"/>
    </row>
    <row r="374" spans="1:4">
      <c r="A374"/>
      <c r="B374"/>
      <c r="C374" s="13"/>
      <c r="D374" s="13"/>
    </row>
    <row r="375" spans="1:4">
      <c r="A375"/>
      <c r="B375"/>
      <c r="C375" s="13"/>
      <c r="D375" s="13"/>
    </row>
    <row r="376" spans="1:4">
      <c r="A376"/>
      <c r="B376"/>
      <c r="C376" s="13"/>
      <c r="D376" s="13"/>
    </row>
    <row r="377" spans="1:4">
      <c r="A377"/>
      <c r="B377"/>
      <c r="C377" s="13"/>
      <c r="D377" s="13"/>
    </row>
    <row r="378" spans="1:4">
      <c r="A378"/>
      <c r="B378"/>
      <c r="C378" s="13"/>
      <c r="D378" s="13"/>
    </row>
    <row r="379" spans="1:4">
      <c r="A379"/>
      <c r="B379"/>
      <c r="C379" s="13"/>
      <c r="D379" s="13"/>
    </row>
    <row r="380" spans="1:4">
      <c r="A380"/>
      <c r="B380"/>
      <c r="C380" s="13"/>
      <c r="D380" s="13"/>
    </row>
    <row r="381" spans="1:4">
      <c r="A381"/>
      <c r="B381"/>
      <c r="C381" s="13"/>
      <c r="D381" s="13"/>
    </row>
    <row r="382" spans="1:4">
      <c r="A382"/>
      <c r="B382"/>
      <c r="C382" s="13"/>
      <c r="D382" s="13"/>
    </row>
    <row r="383" spans="1:4">
      <c r="A383"/>
      <c r="B383"/>
      <c r="C383" s="13"/>
      <c r="D383" s="13"/>
    </row>
    <row r="384" spans="1:4">
      <c r="A384"/>
      <c r="B384"/>
      <c r="C384" s="13"/>
      <c r="D384" s="13"/>
    </row>
    <row r="385" spans="1:4">
      <c r="A385"/>
      <c r="B385"/>
      <c r="C385" s="13"/>
      <c r="D385" s="13"/>
    </row>
    <row r="386" spans="1:4">
      <c r="A386"/>
      <c r="B386"/>
      <c r="C386" s="13"/>
      <c r="D386" s="13"/>
    </row>
    <row r="387" spans="1:4">
      <c r="A387"/>
      <c r="B387"/>
      <c r="C387" s="13"/>
      <c r="D387" s="13"/>
    </row>
    <row r="388" spans="1:4">
      <c r="A388"/>
      <c r="B388"/>
      <c r="C388" s="13"/>
      <c r="D388" s="13"/>
    </row>
    <row r="389" spans="1:4">
      <c r="A389"/>
      <c r="B389"/>
      <c r="C389" s="13"/>
      <c r="D389" s="13"/>
    </row>
    <row r="390" spans="1:4">
      <c r="A390"/>
      <c r="B390"/>
      <c r="C390" s="13"/>
      <c r="D390" s="13"/>
    </row>
    <row r="391" spans="1:4">
      <c r="A391"/>
      <c r="B391"/>
      <c r="C391" s="13"/>
      <c r="D391" s="13"/>
    </row>
    <row r="392" spans="1:4">
      <c r="A392"/>
      <c r="B392"/>
      <c r="C392" s="13"/>
      <c r="D392" s="13"/>
    </row>
    <row r="393" spans="1:4">
      <c r="A393"/>
      <c r="B393"/>
      <c r="C393" s="13"/>
      <c r="D393" s="13"/>
    </row>
    <row r="394" spans="1:4">
      <c r="A394"/>
      <c r="B394"/>
      <c r="C394" s="13"/>
      <c r="D394" s="13"/>
    </row>
    <row r="395" spans="1:4">
      <c r="A395"/>
      <c r="B395"/>
      <c r="C395" s="13"/>
      <c r="D395" s="13"/>
    </row>
    <row r="396" spans="1:4">
      <c r="A396"/>
      <c r="B396"/>
      <c r="C396" s="13"/>
      <c r="D396" s="13"/>
    </row>
    <row r="397" spans="1:4">
      <c r="A397"/>
      <c r="B397"/>
      <c r="C397" s="13"/>
      <c r="D397" s="13"/>
    </row>
    <row r="398" spans="1:4">
      <c r="A398"/>
      <c r="B398"/>
      <c r="C398" s="13"/>
      <c r="D398" s="13"/>
    </row>
    <row r="399" spans="1:4">
      <c r="A399"/>
      <c r="B399"/>
      <c r="C399" s="13"/>
      <c r="D399" s="13"/>
    </row>
    <row r="400" spans="1:4">
      <c r="A400"/>
      <c r="B400"/>
      <c r="C400" s="13"/>
      <c r="D400" s="13"/>
    </row>
    <row r="401" spans="1:4">
      <c r="A401"/>
      <c r="B401"/>
      <c r="C401" s="13"/>
      <c r="D401" s="13"/>
    </row>
    <row r="402" spans="1:4">
      <c r="A402"/>
      <c r="B402"/>
      <c r="C402" s="13"/>
      <c r="D402" s="13"/>
    </row>
    <row r="403" spans="1:4">
      <c r="A403"/>
      <c r="B403"/>
      <c r="C403" s="13"/>
      <c r="D403" s="13"/>
    </row>
    <row r="404" spans="1:4">
      <c r="A404"/>
      <c r="B404"/>
      <c r="C404" s="13"/>
      <c r="D404" s="13"/>
    </row>
    <row r="405" spans="1:4">
      <c r="A405"/>
      <c r="B405"/>
      <c r="C405" s="13"/>
      <c r="D405" s="13"/>
    </row>
    <row r="406" spans="1:4">
      <c r="A406"/>
      <c r="B406"/>
      <c r="C406" s="13"/>
      <c r="D406" s="13"/>
    </row>
    <row r="407" spans="1:4">
      <c r="A407"/>
      <c r="B407"/>
      <c r="C407" s="13"/>
      <c r="D407" s="13"/>
    </row>
    <row r="408" spans="1:4">
      <c r="A408"/>
      <c r="B408"/>
      <c r="C408" s="13"/>
      <c r="D408" s="13"/>
    </row>
    <row r="409" spans="1:4">
      <c r="A409"/>
      <c r="B409"/>
      <c r="C409" s="13"/>
      <c r="D409" s="13"/>
    </row>
    <row r="410" spans="1:4">
      <c r="A410"/>
      <c r="B410"/>
      <c r="C410" s="13"/>
      <c r="D410" s="13"/>
    </row>
    <row r="411" spans="1:4">
      <c r="A411"/>
      <c r="B411"/>
      <c r="C411" s="13"/>
      <c r="D411" s="13"/>
    </row>
    <row r="412" spans="1:4">
      <c r="A412"/>
      <c r="B412"/>
      <c r="C412" s="13"/>
      <c r="D412" s="13"/>
    </row>
    <row r="413" spans="1:4">
      <c r="A413"/>
      <c r="B413"/>
      <c r="C413" s="13"/>
      <c r="D413" s="13"/>
    </row>
    <row r="414" spans="1:4">
      <c r="A414"/>
      <c r="B414"/>
      <c r="C414" s="13"/>
      <c r="D414" s="13"/>
    </row>
    <row r="415" spans="1:4">
      <c r="A415"/>
      <c r="B415"/>
      <c r="C415" s="13"/>
      <c r="D415" s="13"/>
    </row>
    <row r="416" spans="1:4">
      <c r="A416"/>
      <c r="B416"/>
      <c r="C416" s="13"/>
      <c r="D416" s="13"/>
    </row>
    <row r="417" spans="1:4">
      <c r="A417"/>
      <c r="B417"/>
      <c r="C417" s="13"/>
      <c r="D417" s="13"/>
    </row>
    <row r="418" spans="1:4">
      <c r="A418"/>
      <c r="B418"/>
      <c r="C418" s="13"/>
      <c r="D418" s="13"/>
    </row>
    <row r="419" spans="1:4">
      <c r="A419"/>
      <c r="B419"/>
      <c r="C419" s="13"/>
      <c r="D419" s="13"/>
    </row>
    <row r="420" spans="1:4">
      <c r="A420"/>
      <c r="B420"/>
      <c r="C420" s="13"/>
      <c r="D420" s="13"/>
    </row>
    <row r="421" spans="1:4">
      <c r="A421"/>
      <c r="B421"/>
      <c r="C421" s="13"/>
      <c r="D421" s="13"/>
    </row>
    <row r="422" spans="1:4">
      <c r="A422"/>
      <c r="B422"/>
      <c r="C422" s="13"/>
      <c r="D422" s="13"/>
    </row>
    <row r="423" spans="1:4">
      <c r="A423"/>
      <c r="B423"/>
      <c r="C423" s="13"/>
      <c r="D423" s="13"/>
    </row>
    <row r="424" spans="1:4">
      <c r="A424"/>
      <c r="B424"/>
      <c r="C424" s="13"/>
      <c r="D424" s="13"/>
    </row>
    <row r="425" spans="1:4">
      <c r="A425"/>
      <c r="B425"/>
      <c r="C425" s="13"/>
      <c r="D425" s="13"/>
    </row>
    <row r="426" spans="1:4">
      <c r="A426"/>
      <c r="B426"/>
      <c r="C426" s="13"/>
      <c r="D426" s="13"/>
    </row>
    <row r="427" spans="1:4">
      <c r="A427"/>
      <c r="B427"/>
      <c r="C427" s="13"/>
      <c r="D427" s="13"/>
    </row>
    <row r="428" spans="1:4">
      <c r="A428"/>
      <c r="B428"/>
      <c r="C428" s="13"/>
      <c r="D428" s="13"/>
    </row>
    <row r="429" spans="1:4">
      <c r="A429"/>
      <c r="B429"/>
      <c r="C429" s="13"/>
      <c r="D429" s="13"/>
    </row>
    <row r="430" spans="1:4">
      <c r="A430"/>
      <c r="B430"/>
      <c r="C430" s="13"/>
      <c r="D430" s="13"/>
    </row>
    <row r="431" spans="1:4">
      <c r="A431"/>
      <c r="B431"/>
      <c r="C431" s="13"/>
      <c r="D431" s="13"/>
    </row>
    <row r="432" spans="1:4">
      <c r="A432"/>
      <c r="B432"/>
      <c r="C432" s="13"/>
      <c r="D432" s="13"/>
    </row>
    <row r="433" spans="1:4">
      <c r="A433"/>
      <c r="B433"/>
      <c r="C433" s="13"/>
      <c r="D433" s="13"/>
    </row>
    <row r="434" spans="1:4">
      <c r="A434"/>
      <c r="B434"/>
      <c r="C434" s="13"/>
      <c r="D434" s="13"/>
    </row>
    <row r="435" spans="1:4">
      <c r="A435"/>
      <c r="B435"/>
      <c r="C435" s="13"/>
      <c r="D435" s="13"/>
    </row>
    <row r="436" spans="1:4">
      <c r="A436"/>
      <c r="B436"/>
      <c r="C436" s="13"/>
      <c r="D436" s="13"/>
    </row>
    <row r="437" spans="1:4">
      <c r="A437"/>
      <c r="B437"/>
      <c r="C437" s="13"/>
      <c r="D437" s="13"/>
    </row>
    <row r="438" spans="1:4">
      <c r="A438"/>
      <c r="B438"/>
      <c r="C438" s="13"/>
      <c r="D438" s="13"/>
    </row>
    <row r="439" spans="1:4">
      <c r="A439"/>
      <c r="B439"/>
      <c r="C439" s="13"/>
      <c r="D439" s="13"/>
    </row>
    <row r="440" spans="1:4">
      <c r="A440"/>
      <c r="B440"/>
      <c r="C440" s="13"/>
      <c r="D440" s="13"/>
    </row>
    <row r="441" spans="1:4">
      <c r="A441"/>
      <c r="B441"/>
      <c r="C441" s="13"/>
      <c r="D441" s="13"/>
    </row>
    <row r="442" spans="1:4">
      <c r="A442"/>
      <c r="B442"/>
      <c r="C442" s="13"/>
      <c r="D442" s="13"/>
    </row>
    <row r="443" spans="1:4">
      <c r="A443"/>
      <c r="B443"/>
      <c r="C443" s="13"/>
      <c r="D443" s="13"/>
    </row>
    <row r="444" spans="1:4">
      <c r="A444"/>
      <c r="B444"/>
      <c r="C444" s="13"/>
      <c r="D444" s="13"/>
    </row>
    <row r="445" spans="1:4">
      <c r="A445"/>
      <c r="B445"/>
      <c r="C445" s="13"/>
      <c r="D445" s="13"/>
    </row>
    <row r="446" spans="1:4">
      <c r="A446"/>
      <c r="B446"/>
      <c r="C446" s="13"/>
      <c r="D446" s="13"/>
    </row>
    <row r="447" spans="1:4">
      <c r="A447"/>
      <c r="B447"/>
      <c r="C447" s="13"/>
      <c r="D447" s="13"/>
    </row>
    <row r="448" spans="1:4">
      <c r="A448"/>
      <c r="B448"/>
      <c r="C448" s="13"/>
      <c r="D448" s="13"/>
    </row>
    <row r="449" spans="1:4">
      <c r="A449"/>
      <c r="B449"/>
      <c r="C449" s="13"/>
      <c r="D449" s="13"/>
    </row>
    <row r="450" spans="1:4">
      <c r="A450"/>
      <c r="B450"/>
      <c r="C450" s="13"/>
      <c r="D450" s="13"/>
    </row>
    <row r="451" spans="1:4">
      <c r="A451"/>
      <c r="B451"/>
      <c r="C451" s="13"/>
      <c r="D451" s="13"/>
    </row>
    <row r="452" spans="1:4">
      <c r="A452"/>
      <c r="B452"/>
      <c r="C452" s="13"/>
      <c r="D452" s="13"/>
    </row>
    <row r="453" spans="1:4">
      <c r="A453"/>
      <c r="B453"/>
      <c r="C453" s="13"/>
      <c r="D453" s="13"/>
    </row>
    <row r="454" spans="1:4">
      <c r="A454"/>
      <c r="B454"/>
      <c r="C454" s="13"/>
      <c r="D454" s="13"/>
    </row>
    <row r="455" spans="1:4">
      <c r="A455"/>
      <c r="B455"/>
      <c r="C455" s="13"/>
      <c r="D455" s="13"/>
    </row>
    <row r="456" spans="1:4">
      <c r="A456"/>
      <c r="B456"/>
      <c r="C456" s="13"/>
      <c r="D456" s="13"/>
    </row>
    <row r="457" spans="1:4">
      <c r="A457"/>
      <c r="B457"/>
      <c r="C457" s="13"/>
      <c r="D457" s="13"/>
    </row>
    <row r="458" spans="1:4">
      <c r="A458"/>
      <c r="B458"/>
      <c r="C458" s="13"/>
      <c r="D458" s="13"/>
    </row>
    <row r="459" spans="1:4">
      <c r="A459"/>
      <c r="B459"/>
      <c r="C459" s="13"/>
      <c r="D459" s="13"/>
    </row>
    <row r="460" spans="1:4">
      <c r="A460"/>
      <c r="B460"/>
      <c r="C460" s="13"/>
      <c r="D460" s="13"/>
    </row>
    <row r="461" spans="1:4">
      <c r="A461"/>
      <c r="B461"/>
      <c r="C461" s="13"/>
      <c r="D461" s="13"/>
    </row>
    <row r="462" spans="1:4">
      <c r="A462"/>
      <c r="B462"/>
      <c r="C462" s="13"/>
      <c r="D462" s="13"/>
    </row>
    <row r="463" spans="1:4">
      <c r="A463"/>
      <c r="B463"/>
      <c r="C463" s="13"/>
      <c r="D463" s="13"/>
    </row>
    <row r="464" spans="1:4">
      <c r="A464"/>
      <c r="B464"/>
      <c r="C464" s="13"/>
      <c r="D464" s="13"/>
    </row>
    <row r="465" spans="1:4">
      <c r="A465"/>
      <c r="B465"/>
      <c r="C465" s="13"/>
      <c r="D465" s="13"/>
    </row>
    <row r="466" spans="1:4">
      <c r="A466"/>
      <c r="B466"/>
      <c r="C466" s="13"/>
      <c r="D466" s="13"/>
    </row>
    <row r="467" spans="1:4">
      <c r="A467"/>
      <c r="B467"/>
      <c r="C467" s="13"/>
      <c r="D467" s="13"/>
    </row>
    <row r="468" spans="1:4">
      <c r="A468"/>
      <c r="B468"/>
      <c r="C468" s="13"/>
      <c r="D468" s="13"/>
    </row>
    <row r="469" spans="1:4">
      <c r="A469"/>
      <c r="B469"/>
      <c r="C469" s="13"/>
      <c r="D469" s="13"/>
    </row>
    <row r="470" spans="1:4">
      <c r="A470"/>
      <c r="B470"/>
      <c r="C470" s="13"/>
      <c r="D470" s="13"/>
    </row>
    <row r="471" spans="1:4">
      <c r="A471"/>
      <c r="B471"/>
      <c r="C471" s="13"/>
      <c r="D471" s="13"/>
    </row>
    <row r="472" spans="1:4">
      <c r="A472"/>
      <c r="B472"/>
      <c r="C472" s="13"/>
      <c r="D472" s="13"/>
    </row>
    <row r="473" spans="1:4">
      <c r="A473"/>
      <c r="B473"/>
      <c r="C473" s="13"/>
      <c r="D473" s="13"/>
    </row>
    <row r="474" spans="1:4">
      <c r="A474"/>
      <c r="B474"/>
      <c r="C474" s="13"/>
      <c r="D474" s="13"/>
    </row>
    <row r="475" spans="1:4">
      <c r="A475"/>
      <c r="B475"/>
      <c r="C475" s="13"/>
      <c r="D475" s="13"/>
    </row>
    <row r="476" spans="1:4">
      <c r="A476"/>
      <c r="B476"/>
      <c r="C476" s="13"/>
      <c r="D476" s="13"/>
    </row>
    <row r="477" spans="1:4">
      <c r="A477"/>
      <c r="B477"/>
      <c r="C477" s="13"/>
      <c r="D477" s="13"/>
    </row>
    <row r="478" spans="1:4">
      <c r="A478"/>
      <c r="B478"/>
      <c r="C478" s="13"/>
      <c r="D478" s="13"/>
    </row>
    <row r="479" spans="1:4">
      <c r="A479"/>
      <c r="B479"/>
      <c r="C479" s="13"/>
      <c r="D479" s="13"/>
    </row>
    <row r="480" spans="1:4">
      <c r="A480"/>
      <c r="B480"/>
      <c r="C480" s="13"/>
      <c r="D480" s="13"/>
    </row>
    <row r="481" spans="1:4">
      <c r="A481"/>
      <c r="B481"/>
      <c r="C481" s="13"/>
      <c r="D481" s="13"/>
    </row>
    <row r="482" spans="1:4">
      <c r="A482"/>
      <c r="B482"/>
      <c r="C482" s="13"/>
      <c r="D482" s="13"/>
    </row>
    <row r="483" spans="1:4">
      <c r="A483"/>
      <c r="B483"/>
      <c r="C483" s="13"/>
      <c r="D483" s="13"/>
    </row>
    <row r="484" spans="1:4">
      <c r="A484"/>
      <c r="B484"/>
      <c r="C484" s="13"/>
      <c r="D484" s="13"/>
    </row>
    <row r="485" spans="1:4">
      <c r="A485"/>
      <c r="B485"/>
      <c r="C485" s="13"/>
      <c r="D485" s="13"/>
    </row>
    <row r="486" spans="1:4">
      <c r="A486"/>
      <c r="B486"/>
      <c r="C486" s="13"/>
      <c r="D486" s="13"/>
    </row>
    <row r="487" spans="1:4">
      <c r="A487"/>
      <c r="B487"/>
      <c r="C487" s="13"/>
      <c r="D487" s="13"/>
    </row>
    <row r="488" spans="1:4">
      <c r="A488"/>
      <c r="B488"/>
      <c r="C488" s="13"/>
      <c r="D488" s="13"/>
    </row>
    <row r="489" spans="1:4">
      <c r="A489"/>
      <c r="B489"/>
      <c r="C489" s="13"/>
      <c r="D489" s="13"/>
    </row>
    <row r="490" spans="1:4">
      <c r="A490"/>
      <c r="B490"/>
      <c r="C490" s="13"/>
      <c r="D490" s="13"/>
    </row>
    <row r="491" spans="1:4">
      <c r="A491"/>
      <c r="B491"/>
      <c r="C491" s="13"/>
      <c r="D491" s="13"/>
    </row>
    <row r="492" spans="1:4">
      <c r="A492"/>
      <c r="B492"/>
      <c r="C492" s="13"/>
      <c r="D492" s="13"/>
    </row>
    <row r="493" spans="1:4">
      <c r="A493"/>
      <c r="B493"/>
      <c r="C493" s="13"/>
      <c r="D493" s="13"/>
    </row>
    <row r="494" spans="1:4">
      <c r="A494"/>
      <c r="B494"/>
      <c r="C494" s="13"/>
      <c r="D494" s="13"/>
    </row>
    <row r="495" spans="1:4">
      <c r="A495"/>
      <c r="B495"/>
      <c r="C495" s="13"/>
      <c r="D495" s="13"/>
    </row>
    <row r="496" spans="1:4">
      <c r="A496"/>
      <c r="B496"/>
      <c r="C496" s="13"/>
      <c r="D496" s="13"/>
    </row>
    <row r="497" spans="1:4">
      <c r="A497"/>
      <c r="B497"/>
      <c r="C497" s="13"/>
      <c r="D497" s="13"/>
    </row>
    <row r="498" spans="1:4">
      <c r="A498"/>
      <c r="B498"/>
      <c r="C498" s="13"/>
      <c r="D498" s="13"/>
    </row>
    <row r="499" spans="1:4">
      <c r="A499"/>
      <c r="B499"/>
      <c r="C499" s="13"/>
      <c r="D499" s="13"/>
    </row>
    <row r="500" spans="1:4">
      <c r="A500"/>
      <c r="B500"/>
      <c r="C500" s="13"/>
      <c r="D500" s="13"/>
    </row>
    <row r="501" spans="1:4">
      <c r="A501"/>
      <c r="B501"/>
      <c r="C501" s="13"/>
      <c r="D501" s="13"/>
    </row>
    <row r="502" spans="1:4">
      <c r="A502"/>
      <c r="B502"/>
      <c r="C502" s="13"/>
      <c r="D502" s="13"/>
    </row>
    <row r="503" spans="1:4">
      <c r="A503"/>
      <c r="B503"/>
      <c r="C503" s="13"/>
      <c r="D503" s="13"/>
    </row>
    <row r="504" spans="1:4">
      <c r="A504"/>
      <c r="B504"/>
      <c r="C504" s="13"/>
      <c r="D504" s="13"/>
    </row>
    <row r="505" spans="1:4">
      <c r="A505"/>
      <c r="B505"/>
      <c r="C505" s="13"/>
      <c r="D505" s="13"/>
    </row>
    <row r="506" spans="1:4">
      <c r="A506"/>
      <c r="B506"/>
      <c r="C506" s="13"/>
      <c r="D506" s="13"/>
    </row>
    <row r="507" spans="1:4">
      <c r="A507"/>
      <c r="B507"/>
      <c r="C507" s="13"/>
      <c r="D507" s="13"/>
    </row>
    <row r="508" spans="1:4">
      <c r="A508"/>
      <c r="B508"/>
      <c r="C508" s="13"/>
      <c r="D508" s="13"/>
    </row>
    <row r="509" spans="1:4">
      <c r="A509"/>
      <c r="B509"/>
      <c r="C509" s="13"/>
      <c r="D509" s="13"/>
    </row>
    <row r="510" spans="1:4">
      <c r="A510"/>
      <c r="B510"/>
      <c r="C510" s="13"/>
      <c r="D510" s="13"/>
    </row>
    <row r="511" spans="1:4">
      <c r="A511"/>
      <c r="B511"/>
      <c r="C511" s="13"/>
      <c r="D511" s="13"/>
    </row>
    <row r="512" spans="1:4">
      <c r="A512"/>
      <c r="B512"/>
      <c r="C512" s="13"/>
      <c r="D512" s="13"/>
    </row>
    <row r="513" spans="1:4">
      <c r="A513"/>
      <c r="B513"/>
      <c r="C513" s="13"/>
      <c r="D513" s="13"/>
    </row>
    <row r="514" spans="1:4">
      <c r="A514"/>
      <c r="B514"/>
      <c r="C514" s="13"/>
      <c r="D514" s="13"/>
    </row>
    <row r="515" spans="1:4">
      <c r="A515"/>
      <c r="B515"/>
      <c r="C515" s="13"/>
      <c r="D515" s="13"/>
    </row>
    <row r="516" spans="1:4">
      <c r="A516"/>
      <c r="B516"/>
      <c r="C516" s="13"/>
      <c r="D516" s="13"/>
    </row>
    <row r="517" spans="1:4">
      <c r="A517"/>
      <c r="B517"/>
      <c r="C517" s="13"/>
      <c r="D517" s="13"/>
    </row>
    <row r="518" spans="1:4">
      <c r="A518"/>
      <c r="B518"/>
      <c r="C518" s="13"/>
      <c r="D518" s="13"/>
    </row>
    <row r="519" spans="1:4">
      <c r="A519"/>
      <c r="B519"/>
      <c r="C519" s="13"/>
      <c r="D519" s="13"/>
    </row>
    <row r="520" spans="1:4">
      <c r="A520"/>
      <c r="B520"/>
      <c r="C520" s="13"/>
      <c r="D520" s="13"/>
    </row>
    <row r="521" spans="1:4">
      <c r="A521"/>
      <c r="B521"/>
      <c r="C521" s="13"/>
      <c r="D521" s="13"/>
    </row>
    <row r="522" spans="1:4">
      <c r="A522"/>
      <c r="B522"/>
      <c r="C522" s="13"/>
      <c r="D522" s="13"/>
    </row>
    <row r="523" spans="1:4">
      <c r="A523"/>
      <c r="B523"/>
      <c r="C523" s="13"/>
      <c r="D523" s="13"/>
    </row>
    <row r="524" spans="1:4">
      <c r="A524"/>
      <c r="B524"/>
      <c r="C524" s="13"/>
      <c r="D524" s="13"/>
    </row>
    <row r="525" spans="1:4">
      <c r="A525"/>
      <c r="B525"/>
      <c r="C525" s="13"/>
      <c r="D525" s="13"/>
    </row>
    <row r="526" spans="1:4">
      <c r="A526"/>
      <c r="B526"/>
      <c r="C526" s="13"/>
      <c r="D526" s="13"/>
    </row>
    <row r="527" spans="1:4">
      <c r="A527"/>
      <c r="B527"/>
      <c r="C527" s="13"/>
      <c r="D527" s="13"/>
    </row>
    <row r="528" spans="1:4">
      <c r="A528"/>
      <c r="B528"/>
      <c r="C528" s="13"/>
      <c r="D528" s="13"/>
    </row>
    <row r="529" spans="1:4">
      <c r="A529"/>
      <c r="B529"/>
      <c r="C529" s="13"/>
      <c r="D529" s="13"/>
    </row>
    <row r="530" spans="1:4">
      <c r="A530"/>
      <c r="B530"/>
      <c r="C530" s="13"/>
      <c r="D530" s="13"/>
    </row>
    <row r="531" spans="1:4">
      <c r="A531"/>
      <c r="B531"/>
      <c r="C531" s="13"/>
      <c r="D531" s="13"/>
    </row>
    <row r="532" spans="1:4">
      <c r="A532"/>
      <c r="B532"/>
      <c r="C532" s="13"/>
      <c r="D532" s="13"/>
    </row>
    <row r="533" spans="1:4">
      <c r="A533"/>
      <c r="B533"/>
      <c r="C533" s="13"/>
      <c r="D533" s="13"/>
    </row>
    <row r="534" spans="1:4">
      <c r="A534"/>
      <c r="B534"/>
      <c r="C534" s="13"/>
      <c r="D534" s="13"/>
    </row>
    <row r="535" spans="1:4">
      <c r="A535"/>
      <c r="B535"/>
      <c r="C535" s="13"/>
      <c r="D535" s="13"/>
    </row>
    <row r="536" spans="1:4">
      <c r="A536"/>
      <c r="B536"/>
      <c r="C536" s="13"/>
      <c r="D536" s="13"/>
    </row>
    <row r="537" spans="1:4">
      <c r="A537"/>
      <c r="B537"/>
      <c r="C537" s="13"/>
      <c r="D537" s="13"/>
    </row>
    <row r="538" spans="1:4">
      <c r="A538"/>
      <c r="B538"/>
      <c r="C538" s="13"/>
      <c r="D538" s="13"/>
    </row>
    <row r="539" spans="1:4">
      <c r="A539"/>
      <c r="B539"/>
      <c r="C539" s="13"/>
      <c r="D539" s="13"/>
    </row>
    <row r="540" spans="1:4">
      <c r="A540"/>
      <c r="B540"/>
      <c r="C540" s="13"/>
      <c r="D540" s="13"/>
    </row>
    <row r="541" spans="1:4">
      <c r="A541"/>
      <c r="B541"/>
      <c r="C541" s="13"/>
      <c r="D541" s="13"/>
    </row>
    <row r="542" spans="1:4">
      <c r="A542"/>
      <c r="B542"/>
      <c r="C542" s="13"/>
      <c r="D542" s="13"/>
    </row>
    <row r="543" spans="1:4">
      <c r="A543"/>
      <c r="B543"/>
      <c r="C543" s="13"/>
      <c r="D543" s="13"/>
    </row>
    <row r="544" spans="1:4">
      <c r="A544"/>
      <c r="B544"/>
      <c r="C544" s="13"/>
      <c r="D544" s="13"/>
    </row>
    <row r="545" spans="1:4">
      <c r="A545"/>
      <c r="B545"/>
      <c r="C545" s="13"/>
      <c r="D545" s="13"/>
    </row>
    <row r="546" spans="1:4">
      <c r="A546"/>
      <c r="B546"/>
      <c r="C546" s="13"/>
      <c r="D546" s="13"/>
    </row>
    <row r="547" spans="1:4">
      <c r="A547"/>
      <c r="B547"/>
      <c r="C547" s="13"/>
      <c r="D547" s="13"/>
    </row>
    <row r="548" spans="1:4">
      <c r="A548"/>
      <c r="B548"/>
      <c r="C548" s="13"/>
      <c r="D548" s="13"/>
    </row>
    <row r="549" spans="1:4">
      <c r="A549"/>
      <c r="B549"/>
      <c r="C549" s="13"/>
      <c r="D549" s="13"/>
    </row>
    <row r="550" spans="1:4">
      <c r="A550"/>
      <c r="B550"/>
      <c r="C550" s="13"/>
      <c r="D550" s="13"/>
    </row>
    <row r="551" spans="1:4">
      <c r="A551"/>
      <c r="B551"/>
      <c r="C551" s="13"/>
      <c r="D551" s="13"/>
    </row>
    <row r="552" spans="1:4">
      <c r="A552"/>
      <c r="B552"/>
      <c r="C552" s="13"/>
      <c r="D552" s="13"/>
    </row>
    <row r="553" spans="1:4">
      <c r="A553"/>
      <c r="B553"/>
      <c r="C553" s="13"/>
      <c r="D553" s="13"/>
    </row>
    <row r="554" spans="1:4">
      <c r="A554"/>
      <c r="B554"/>
      <c r="C554" s="13"/>
      <c r="D554" s="13"/>
    </row>
    <row r="555" spans="1:4">
      <c r="A555"/>
      <c r="B555"/>
      <c r="C555" s="13"/>
      <c r="D555" s="13"/>
    </row>
    <row r="556" spans="1:4">
      <c r="A556"/>
      <c r="B556"/>
      <c r="C556" s="13"/>
      <c r="D556" s="13"/>
    </row>
    <row r="557" spans="1:4">
      <c r="A557"/>
      <c r="B557"/>
      <c r="C557" s="13"/>
      <c r="D557" s="13"/>
    </row>
    <row r="558" spans="1:4">
      <c r="A558"/>
      <c r="B558"/>
      <c r="C558" s="13"/>
      <c r="D558" s="13"/>
    </row>
    <row r="559" spans="1:4">
      <c r="A559"/>
      <c r="B559"/>
      <c r="C559" s="13"/>
      <c r="D559" s="13"/>
    </row>
    <row r="560" spans="1:4">
      <c r="A560"/>
      <c r="B560"/>
      <c r="C560" s="13"/>
      <c r="D560" s="13"/>
    </row>
    <row r="561" spans="1:4">
      <c r="A561"/>
      <c r="B561"/>
      <c r="C561" s="13"/>
      <c r="D561" s="13"/>
    </row>
    <row r="562" spans="1:4">
      <c r="A562"/>
      <c r="B562"/>
      <c r="C562" s="13"/>
      <c r="D562" s="13"/>
    </row>
    <row r="563" spans="1:4">
      <c r="A563"/>
      <c r="B563"/>
      <c r="C563" s="13"/>
      <c r="D563" s="13"/>
    </row>
    <row r="564" spans="1:4">
      <c r="A564"/>
      <c r="B564"/>
      <c r="C564" s="13"/>
      <c r="D564" s="13"/>
    </row>
    <row r="565" spans="1:4">
      <c r="A565"/>
      <c r="B565"/>
      <c r="C565" s="13"/>
      <c r="D565" s="13"/>
    </row>
    <row r="566" spans="1:4">
      <c r="A566"/>
      <c r="B566"/>
      <c r="C566" s="13"/>
      <c r="D566" s="13"/>
    </row>
    <row r="567" spans="1:4">
      <c r="A567"/>
      <c r="B567"/>
      <c r="C567" s="13"/>
      <c r="D567" s="13"/>
    </row>
    <row r="568" spans="1:4">
      <c r="A568"/>
      <c r="B568"/>
      <c r="C568" s="13"/>
      <c r="D568" s="13"/>
    </row>
    <row r="569" spans="1:4">
      <c r="A569"/>
      <c r="B569"/>
      <c r="C569" s="13"/>
      <c r="D569" s="13"/>
    </row>
    <row r="570" spans="1:4">
      <c r="A570"/>
      <c r="B570"/>
      <c r="C570" s="13"/>
      <c r="D570" s="13"/>
    </row>
    <row r="571" spans="1:4">
      <c r="A571"/>
      <c r="B571"/>
      <c r="C571" s="13"/>
      <c r="D571" s="13"/>
    </row>
    <row r="572" spans="1:4">
      <c r="A572"/>
      <c r="B572"/>
      <c r="C572" s="13"/>
      <c r="D572" s="13"/>
    </row>
    <row r="573" spans="1:4">
      <c r="A573"/>
      <c r="B573"/>
      <c r="C573" s="13"/>
      <c r="D573" s="13"/>
    </row>
    <row r="574" spans="1:4">
      <c r="A574"/>
      <c r="B574"/>
      <c r="C574" s="13"/>
      <c r="D574" s="13"/>
    </row>
    <row r="575" spans="1:4">
      <c r="A575"/>
      <c r="B575"/>
      <c r="C575" s="13"/>
      <c r="D575" s="13"/>
    </row>
    <row r="576" spans="1:4">
      <c r="A576"/>
      <c r="B576"/>
      <c r="C576" s="13"/>
      <c r="D576" s="13"/>
    </row>
    <row r="577" spans="1:4">
      <c r="A577"/>
      <c r="B577"/>
      <c r="C577" s="13"/>
      <c r="D577" s="13"/>
    </row>
    <row r="578" spans="1:4">
      <c r="A578"/>
      <c r="B578"/>
      <c r="C578" s="13"/>
      <c r="D578" s="13"/>
    </row>
    <row r="579" spans="1:4">
      <c r="A579"/>
      <c r="B579"/>
      <c r="C579" s="13"/>
      <c r="D579" s="13"/>
    </row>
    <row r="580" spans="1:4">
      <c r="A580"/>
      <c r="B580"/>
      <c r="C580" s="13"/>
      <c r="D580" s="13"/>
    </row>
    <row r="581" spans="1:4">
      <c r="A581"/>
      <c r="B581"/>
      <c r="C581" s="13"/>
      <c r="D581" s="13"/>
    </row>
    <row r="582" spans="1:4">
      <c r="A582"/>
      <c r="B582"/>
      <c r="C582" s="13"/>
      <c r="D582" s="13"/>
    </row>
    <row r="583" spans="1:4">
      <c r="A583"/>
      <c r="B583"/>
      <c r="C583" s="13"/>
      <c r="D583" s="13"/>
    </row>
    <row r="584" spans="1:4">
      <c r="A584"/>
      <c r="B584"/>
      <c r="C584" s="13"/>
      <c r="D584" s="13"/>
    </row>
    <row r="585" spans="1:4">
      <c r="A585"/>
      <c r="B585"/>
      <c r="C585" s="13"/>
      <c r="D585" s="13"/>
    </row>
    <row r="586" spans="1:4">
      <c r="A586"/>
      <c r="B586"/>
      <c r="C586" s="13"/>
      <c r="D586" s="13"/>
    </row>
    <row r="587" spans="1:4">
      <c r="A587"/>
      <c r="B587"/>
      <c r="C587" s="13"/>
      <c r="D587" s="13"/>
    </row>
    <row r="588" spans="1:4">
      <c r="A588"/>
      <c r="B588"/>
      <c r="C588" s="13"/>
      <c r="D588" s="13"/>
    </row>
    <row r="589" spans="1:4">
      <c r="A589"/>
      <c r="B589"/>
      <c r="C589" s="13"/>
      <c r="D589" s="13"/>
    </row>
    <row r="590" spans="1:4">
      <c r="A590"/>
      <c r="B590"/>
      <c r="C590" s="13"/>
      <c r="D590" s="13"/>
    </row>
    <row r="591" spans="1:4">
      <c r="A591"/>
      <c r="B591"/>
      <c r="C591" s="13"/>
      <c r="D591" s="13"/>
    </row>
    <row r="592" spans="1:4">
      <c r="A592"/>
      <c r="B592"/>
      <c r="C592" s="13"/>
      <c r="D592" s="13"/>
    </row>
    <row r="593" spans="1:4">
      <c r="A593"/>
      <c r="B593"/>
      <c r="C593" s="13"/>
      <c r="D593" s="13"/>
    </row>
    <row r="594" spans="1:4">
      <c r="A594"/>
      <c r="B594"/>
      <c r="C594" s="13"/>
      <c r="D594" s="13"/>
    </row>
    <row r="595" spans="1:4">
      <c r="A595"/>
      <c r="B595"/>
      <c r="C595" s="13"/>
      <c r="D595" s="13"/>
    </row>
    <row r="596" spans="1:4">
      <c r="A596"/>
      <c r="B596"/>
      <c r="C596" s="13"/>
      <c r="D596" s="13"/>
    </row>
    <row r="597" spans="1:4">
      <c r="A597"/>
      <c r="B597"/>
      <c r="C597" s="13"/>
      <c r="D597" s="13"/>
    </row>
    <row r="598" spans="1:4">
      <c r="A598"/>
      <c r="B598"/>
      <c r="C598" s="13"/>
      <c r="D598" s="13"/>
    </row>
    <row r="599" spans="1:4">
      <c r="A599"/>
      <c r="B599"/>
      <c r="C599" s="13"/>
      <c r="D599" s="13"/>
    </row>
    <row r="600" spans="1:4">
      <c r="A600"/>
      <c r="B600"/>
      <c r="C600" s="13"/>
      <c r="D600" s="13"/>
    </row>
    <row r="601" spans="1:4">
      <c r="A601"/>
      <c r="B601"/>
      <c r="C601" s="13"/>
      <c r="D601" s="13"/>
    </row>
    <row r="602" spans="1:4">
      <c r="A602"/>
      <c r="B602"/>
      <c r="C602" s="13"/>
      <c r="D602" s="13"/>
    </row>
    <row r="603" spans="1:4">
      <c r="A603"/>
      <c r="B603"/>
      <c r="C603" s="13"/>
      <c r="D603" s="13"/>
    </row>
  </sheetData>
  <autoFilter ref="A1:C48"/>
  <pageMargins left="0.25" right="0.25" top="0.75" bottom="0.75" header="0.3" footer="0.3"/>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2025-2027</vt:lpstr>
      <vt:lpstr>Տեղեկանք 1 բազային բյուջե</vt:lpstr>
      <vt:lpstr>հհ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Artak</dc:creator>
  <cp:keywords>https:/mul2-edu.gov.am/tasks/1487750/oneclick/MoESCS-2025-2027.xlsx?token=78764b89dea75859759d7e7222717214</cp:keywords>
  <cp:lastModifiedBy>User</cp:lastModifiedBy>
  <cp:lastPrinted>2024-03-18T11:46:01Z</cp:lastPrinted>
  <dcterms:created xsi:type="dcterms:W3CDTF">2024-01-07T08:07:06Z</dcterms:created>
  <dcterms:modified xsi:type="dcterms:W3CDTF">2024-03-19T13:07:33Z</dcterms:modified>
</cp:coreProperties>
</file>